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 windowWidth="20730" windowHeight="6900" tabRatio="867" activeTab="13"/>
  </bookViews>
  <sheets>
    <sheet name="Zona I" sheetId="44" r:id="rId1"/>
    <sheet name="Zona II" sheetId="45" r:id="rId2"/>
    <sheet name="Zona III" sheetId="46" r:id="rId3"/>
    <sheet name="Zona IV" sheetId="47" r:id="rId4"/>
    <sheet name="Zona V" sheetId="57" r:id="rId5"/>
    <sheet name="Zona VI" sheetId="48" r:id="rId6"/>
    <sheet name="Zona VII" sheetId="49" r:id="rId7"/>
    <sheet name="Zona VIII" sheetId="50" r:id="rId8"/>
    <sheet name="Zona IX" sheetId="51" r:id="rId9"/>
    <sheet name="Zona X" sheetId="52" r:id="rId10"/>
    <sheet name="Zona XI " sheetId="53" r:id="rId11"/>
    <sheet name="Resumen II" sheetId="61" r:id="rId12"/>
    <sheet name="Resumen" sheetId="43" r:id="rId13"/>
    <sheet name="Direcciones Farmacias " sheetId="56" r:id="rId14"/>
  </sheets>
  <externalReferences>
    <externalReference r:id="rId15"/>
    <externalReference r:id="rId16"/>
  </externalReferences>
  <definedNames>
    <definedName name="_xlnm._FilterDatabase" localSheetId="13" hidden="1">'Direcciones Farmacias '!$B$8:$F$303</definedName>
    <definedName name="_xlnm.Print_Area" localSheetId="13">'Direcciones Farmacias '!$A:$F</definedName>
    <definedName name="_xlnm.Print_Area" localSheetId="12">Resumen!$A$23:$B$403</definedName>
    <definedName name="_xlnm.Print_Area" localSheetId="11">'Resumen II'!$A$1:$G$44</definedName>
    <definedName name="_xlnm.Print_Area" localSheetId="0">'Zona I'!$A$1:$D$46</definedName>
    <definedName name="_xlnm.Print_Area" localSheetId="1">'Zona II'!$A$1:$D$38</definedName>
    <definedName name="_xlnm.Print_Area" localSheetId="2">'Zona III'!$A$1:$D$48</definedName>
    <definedName name="_xlnm.Print_Area" localSheetId="3">'Zona IV'!$A$1:$E$58</definedName>
    <definedName name="_xlnm.Print_Area" localSheetId="8">'Zona IX'!$A$1:$D$45</definedName>
    <definedName name="_xlnm.Print_Area" localSheetId="4">'Zona V'!$A$1:$D$55</definedName>
    <definedName name="_xlnm.Print_Area" localSheetId="5">'Zona VI'!$A$1:$D$72</definedName>
    <definedName name="_xlnm.Print_Area" localSheetId="6">'Zona VII'!$A$1:$D$56</definedName>
    <definedName name="_xlnm.Print_Area" localSheetId="7">'Zona VIII'!$A$1:$D$46</definedName>
    <definedName name="_xlnm.Print_Area" localSheetId="9">'Zona X'!$A$1:$D$44</definedName>
    <definedName name="_xlnm.Print_Area" localSheetId="10">'Zona XI '!$A$1:$D$48</definedName>
    <definedName name="Cargo" localSheetId="13">'[1]Base de Datos'!$GL$7:$GL$11</definedName>
    <definedName name="Cargo">'[2]Base de Datos'!$GL$7:$GL$11</definedName>
    <definedName name="Nota" localSheetId="13">'[1]Base de Datos'!$GM$7:$GM$11</definedName>
    <definedName name="Nota">'[2]Base de Datos'!$GM$7:$GM$11</definedName>
    <definedName name="_xlnm.Print_Titles" localSheetId="13">'Direcciones Farmacias '!$1:$8</definedName>
  </definedNames>
  <calcPr calcId="145621"/>
</workbook>
</file>

<file path=xl/calcChain.xml><?xml version="1.0" encoding="utf-8"?>
<calcChain xmlns="http://schemas.openxmlformats.org/spreadsheetml/2006/main">
  <c r="A48" i="53" l="1"/>
  <c r="D48" i="53"/>
  <c r="D15" i="53"/>
  <c r="A15" i="53"/>
  <c r="A54" i="49"/>
  <c r="A403" i="43" l="1"/>
  <c r="A402" i="43"/>
  <c r="A401" i="43"/>
  <c r="A400" i="43"/>
  <c r="A399" i="43"/>
  <c r="A398" i="43"/>
  <c r="A397" i="43"/>
  <c r="A396" i="43"/>
  <c r="A387" i="43"/>
  <c r="A386" i="43"/>
  <c r="A385" i="43"/>
  <c r="A381" i="43"/>
  <c r="A380" i="43"/>
  <c r="A379" i="43"/>
  <c r="A373" i="43"/>
  <c r="A372" i="43"/>
  <c r="A371" i="43"/>
  <c r="A370" i="43"/>
  <c r="A369" i="43"/>
  <c r="A368" i="43"/>
  <c r="A367" i="43"/>
  <c r="A366" i="43"/>
  <c r="A365" i="43"/>
  <c r="A364" i="43"/>
  <c r="A363" i="43"/>
  <c r="A362" i="43"/>
  <c r="A361" i="43"/>
  <c r="A360" i="43"/>
  <c r="A359" i="43"/>
  <c r="A358" i="43"/>
  <c r="A357" i="43"/>
  <c r="A356" i="43"/>
  <c r="A355" i="43"/>
  <c r="A354" i="43"/>
  <c r="A353" i="43"/>
  <c r="A352" i="43"/>
  <c r="A351" i="43"/>
  <c r="A350" i="43"/>
  <c r="A349" i="43"/>
  <c r="A348" i="43"/>
  <c r="A347" i="43"/>
  <c r="A346" i="43"/>
  <c r="A345" i="43"/>
  <c r="A344" i="43"/>
  <c r="A343" i="43"/>
  <c r="A337" i="43"/>
  <c r="A336" i="43"/>
  <c r="A335" i="43"/>
  <c r="A334" i="43"/>
  <c r="A333" i="43"/>
  <c r="A332" i="43"/>
  <c r="A331" i="43"/>
  <c r="A330" i="43"/>
  <c r="A329" i="43"/>
  <c r="A325" i="43"/>
  <c r="A324" i="43"/>
  <c r="A323" i="43"/>
  <c r="A320" i="43"/>
  <c r="A319" i="43"/>
  <c r="A318" i="43"/>
  <c r="A317" i="43"/>
  <c r="A316" i="43"/>
  <c r="A315" i="43"/>
  <c r="A314" i="43"/>
  <c r="A308" i="43"/>
  <c r="A307" i="43"/>
  <c r="A306" i="43"/>
  <c r="A305" i="43"/>
  <c r="A304" i="43"/>
  <c r="A303" i="43"/>
  <c r="A302" i="43"/>
  <c r="A301" i="43"/>
  <c r="A300" i="43"/>
  <c r="A299" i="43"/>
  <c r="A298" i="43"/>
  <c r="A297" i="43"/>
  <c r="A292" i="43"/>
  <c r="A291" i="43"/>
  <c r="A290" i="43"/>
  <c r="A286" i="43"/>
  <c r="A285" i="43"/>
  <c r="A284" i="43"/>
  <c r="A283" i="43"/>
  <c r="A53" i="43"/>
  <c r="D16" i="43"/>
  <c r="C16" i="43"/>
  <c r="B16" i="43"/>
  <c r="D15" i="43"/>
  <c r="C15" i="43"/>
  <c r="B15" i="43"/>
  <c r="D14" i="43"/>
  <c r="C14" i="43"/>
  <c r="B14" i="43"/>
  <c r="D13" i="43"/>
  <c r="C13" i="43"/>
  <c r="B13" i="43"/>
  <c r="D12" i="43"/>
  <c r="C12" i="43"/>
  <c r="B12" i="43"/>
  <c r="D11" i="43"/>
  <c r="C11" i="43"/>
  <c r="B11" i="43"/>
  <c r="D10" i="43"/>
  <c r="C10" i="43"/>
  <c r="B10" i="43"/>
  <c r="D9" i="43"/>
  <c r="C9" i="43"/>
  <c r="B9" i="43"/>
  <c r="D8" i="43"/>
  <c r="C8" i="43"/>
  <c r="B8" i="43"/>
  <c r="D7" i="43"/>
  <c r="C7" i="43"/>
  <c r="C17" i="43" s="1"/>
  <c r="B7" i="43"/>
  <c r="B17" i="43" s="1"/>
  <c r="A303" i="56"/>
  <c r="A302" i="56"/>
  <c r="A301" i="56"/>
  <c r="A300" i="56"/>
  <c r="A299" i="56"/>
  <c r="A298" i="56"/>
  <c r="A297" i="56"/>
  <c r="A296" i="56"/>
  <c r="A295" i="56"/>
  <c r="A294" i="56"/>
  <c r="A293" i="56"/>
  <c r="A292" i="56"/>
  <c r="A291" i="56"/>
  <c r="A290" i="56"/>
  <c r="A289" i="56"/>
  <c r="A288" i="56"/>
  <c r="A287" i="56"/>
  <c r="A286" i="56"/>
  <c r="A285" i="56"/>
  <c r="A284" i="56"/>
  <c r="A283" i="56"/>
  <c r="A282" i="56"/>
  <c r="A281" i="56"/>
  <c r="A280" i="56"/>
  <c r="A279" i="56"/>
  <c r="A278" i="56"/>
  <c r="A277" i="56"/>
  <c r="A276" i="56"/>
  <c r="A275" i="56"/>
  <c r="A274" i="56"/>
  <c r="A273" i="56"/>
  <c r="A272" i="56"/>
  <c r="A271" i="56"/>
  <c r="A270" i="56"/>
  <c r="A269" i="56"/>
  <c r="A268" i="56"/>
  <c r="A267" i="56"/>
  <c r="A266" i="56"/>
  <c r="A265" i="56"/>
  <c r="A264" i="56"/>
  <c r="A263" i="56"/>
  <c r="A262" i="56"/>
  <c r="A261" i="56"/>
  <c r="A260" i="56"/>
  <c r="A259" i="56"/>
  <c r="A258" i="56"/>
  <c r="A257" i="56"/>
  <c r="A256" i="56"/>
  <c r="A255" i="56"/>
  <c r="A254" i="56"/>
  <c r="A253" i="56"/>
  <c r="A252" i="56"/>
  <c r="A251" i="56"/>
  <c r="A250" i="56"/>
  <c r="A249" i="56"/>
  <c r="A248" i="56"/>
  <c r="A247" i="56"/>
  <c r="A246" i="56"/>
  <c r="A245" i="56"/>
  <c r="A244" i="56"/>
  <c r="A243" i="56"/>
  <c r="A242" i="56"/>
  <c r="A241" i="56"/>
  <c r="A240" i="56"/>
  <c r="A239" i="56"/>
  <c r="A238" i="56"/>
  <c r="A237" i="56"/>
  <c r="A236" i="56"/>
  <c r="A235" i="56"/>
  <c r="A234" i="56"/>
  <c r="A233" i="56"/>
  <c r="A232" i="56"/>
  <c r="A231" i="56"/>
  <c r="A230" i="56"/>
  <c r="A229" i="56"/>
  <c r="A228" i="56"/>
  <c r="A227" i="56"/>
  <c r="A226" i="56"/>
  <c r="A225" i="56"/>
  <c r="A224" i="56"/>
  <c r="A223" i="56"/>
  <c r="A222" i="56"/>
  <c r="A221" i="56"/>
  <c r="A220" i="56"/>
  <c r="A219" i="56"/>
  <c r="A218" i="56"/>
  <c r="A217" i="56"/>
  <c r="A216" i="56"/>
  <c r="A215" i="56"/>
  <c r="A214" i="56"/>
  <c r="A213" i="56"/>
  <c r="A212" i="56"/>
  <c r="A211" i="56"/>
  <c r="A210" i="56"/>
  <c r="A209" i="56"/>
  <c r="A208" i="56"/>
  <c r="A207" i="56"/>
  <c r="A206" i="56"/>
  <c r="A205" i="56"/>
  <c r="A204" i="56"/>
  <c r="A203" i="56"/>
  <c r="A202" i="56"/>
  <c r="A201" i="56"/>
  <c r="A200" i="56"/>
  <c r="A199" i="56"/>
  <c r="A198" i="56"/>
  <c r="A197" i="56"/>
  <c r="A196" i="56"/>
  <c r="A195" i="56"/>
  <c r="A194" i="56"/>
  <c r="A193" i="56"/>
  <c r="A192" i="56"/>
  <c r="A191" i="56"/>
  <c r="A190" i="56"/>
  <c r="A189" i="56"/>
  <c r="A188" i="56"/>
  <c r="A187" i="56"/>
  <c r="A186" i="56"/>
  <c r="A185" i="56"/>
  <c r="A184" i="56"/>
  <c r="A183" i="56"/>
  <c r="A182" i="56"/>
  <c r="A181" i="56"/>
  <c r="A180" i="56"/>
  <c r="A179" i="56"/>
  <c r="A178" i="56"/>
  <c r="A177" i="56"/>
  <c r="A176" i="56"/>
  <c r="A175" i="56"/>
  <c r="A174" i="56"/>
  <c r="A173" i="56"/>
  <c r="A172" i="56"/>
  <c r="A171" i="56"/>
  <c r="A170" i="56"/>
  <c r="A169" i="56"/>
  <c r="A168" i="56"/>
  <c r="A167" i="56"/>
  <c r="A166" i="56"/>
  <c r="A165" i="56"/>
  <c r="A164" i="56"/>
  <c r="A163" i="56"/>
  <c r="A162" i="56"/>
  <c r="A161" i="56"/>
  <c r="A160" i="56"/>
  <c r="A159" i="56"/>
  <c r="A158" i="56"/>
  <c r="A157" i="56"/>
  <c r="A156" i="56"/>
  <c r="A155" i="56"/>
  <c r="A154" i="56"/>
  <c r="A153" i="56"/>
  <c r="A152" i="56"/>
  <c r="A151" i="56"/>
  <c r="A150" i="56"/>
  <c r="A149" i="56"/>
  <c r="A148" i="56"/>
  <c r="A147" i="56"/>
  <c r="A146" i="56"/>
  <c r="A145" i="56"/>
  <c r="A144" i="56"/>
  <c r="A143" i="56"/>
  <c r="A142" i="56"/>
  <c r="A141" i="56"/>
  <c r="A140" i="56"/>
  <c r="A139" i="56"/>
  <c r="A138" i="56"/>
  <c r="A137" i="56"/>
  <c r="A136" i="56"/>
  <c r="A135" i="56"/>
  <c r="A134" i="56"/>
  <c r="A133" i="56"/>
  <c r="A132"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D43" i="61"/>
  <c r="C43" i="61"/>
  <c r="D46" i="53"/>
  <c r="A46" i="53"/>
  <c r="C44" i="53"/>
  <c r="C42" i="53"/>
  <c r="C41" i="53"/>
  <c r="C40" i="53"/>
  <c r="C39" i="53"/>
  <c r="C38" i="53"/>
  <c r="C37" i="53"/>
  <c r="D32" i="53"/>
  <c r="A32" i="53"/>
  <c r="C31" i="53"/>
  <c r="C30" i="53"/>
  <c r="A25" i="53"/>
  <c r="D25" i="53"/>
  <c r="C24" i="53"/>
  <c r="C22" i="53"/>
  <c r="C21" i="53"/>
  <c r="C20" i="53"/>
  <c r="C14" i="53"/>
  <c r="D43" i="52"/>
  <c r="A43" i="52"/>
  <c r="C42" i="52"/>
  <c r="C41" i="52"/>
  <c r="C40" i="52"/>
  <c r="C39" i="52"/>
  <c r="C38" i="52"/>
  <c r="C37" i="52"/>
  <c r="C36" i="52"/>
  <c r="C35" i="52"/>
  <c r="C34" i="52"/>
  <c r="C33" i="52"/>
  <c r="C32" i="52"/>
  <c r="C31" i="52"/>
  <c r="C30" i="52"/>
  <c r="C27" i="52"/>
  <c r="C25" i="52"/>
  <c r="C24" i="52"/>
  <c r="C23" i="52"/>
  <c r="C22" i="52"/>
  <c r="C20" i="52"/>
  <c r="C19" i="52"/>
  <c r="C18" i="52"/>
  <c r="C17" i="52"/>
  <c r="C16" i="52"/>
  <c r="C15" i="52"/>
  <c r="C14" i="52"/>
  <c r="C13" i="52"/>
  <c r="C12" i="52"/>
  <c r="C11" i="52"/>
  <c r="D43" i="51"/>
  <c r="A43" i="51"/>
  <c r="C42" i="51"/>
  <c r="C41" i="51"/>
  <c r="C40" i="51"/>
  <c r="C39" i="51"/>
  <c r="C37" i="51"/>
  <c r="C35" i="51"/>
  <c r="C33" i="51"/>
  <c r="D28" i="51"/>
  <c r="A28" i="51"/>
  <c r="C27" i="51"/>
  <c r="C26" i="51"/>
  <c r="C25" i="51"/>
  <c r="D20" i="51"/>
  <c r="A20" i="51"/>
  <c r="C19" i="51"/>
  <c r="C18" i="51"/>
  <c r="C16" i="51"/>
  <c r="C15" i="51"/>
  <c r="C14" i="51"/>
  <c r="C13" i="51"/>
  <c r="C12" i="51"/>
  <c r="C11" i="51"/>
  <c r="D44" i="50"/>
  <c r="A44" i="50"/>
  <c r="C43" i="50"/>
  <c r="C42" i="50"/>
  <c r="C41" i="50"/>
  <c r="C40" i="50"/>
  <c r="C38" i="50"/>
  <c r="C33" i="50"/>
  <c r="C32" i="50"/>
  <c r="D26" i="50"/>
  <c r="A26" i="50"/>
  <c r="C24" i="50"/>
  <c r="C22" i="50"/>
  <c r="C21" i="50"/>
  <c r="D16" i="50"/>
  <c r="A16" i="50"/>
  <c r="C15" i="50"/>
  <c r="C13" i="50"/>
  <c r="C12" i="50"/>
  <c r="A12" i="50"/>
  <c r="C11" i="50"/>
  <c r="D54" i="49"/>
  <c r="C51" i="49"/>
  <c r="C49" i="49"/>
  <c r="C48" i="49"/>
  <c r="C47" i="49"/>
  <c r="C46" i="49"/>
  <c r="C45" i="49"/>
  <c r="C44" i="49"/>
  <c r="C43" i="49"/>
  <c r="D37" i="49"/>
  <c r="A37" i="49"/>
  <c r="C35" i="49"/>
  <c r="C33" i="49"/>
  <c r="C32" i="49"/>
  <c r="D27" i="49"/>
  <c r="A27" i="49"/>
  <c r="C26" i="49"/>
  <c r="C25" i="49"/>
  <c r="C24" i="49"/>
  <c r="C23" i="49"/>
  <c r="C22" i="49"/>
  <c r="D17" i="49"/>
  <c r="A17" i="49"/>
  <c r="C16" i="49"/>
  <c r="C15" i="49"/>
  <c r="C14" i="49"/>
  <c r="C13" i="49"/>
  <c r="C12" i="49"/>
  <c r="C11" i="49"/>
  <c r="D70" i="48"/>
  <c r="A70" i="48"/>
  <c r="C68" i="48"/>
  <c r="C67" i="48"/>
  <c r="C66" i="48"/>
  <c r="C65" i="48"/>
  <c r="C64" i="48"/>
  <c r="C63" i="48"/>
  <c r="C62" i="48"/>
  <c r="C61" i="48"/>
  <c r="C59" i="48"/>
  <c r="C57" i="48"/>
  <c r="C56" i="48"/>
  <c r="C55" i="48"/>
  <c r="C54" i="48"/>
  <c r="C53" i="48"/>
  <c r="C52" i="48"/>
  <c r="C51" i="48"/>
  <c r="D46" i="48"/>
  <c r="A46" i="48"/>
  <c r="C45" i="48"/>
  <c r="C44" i="48"/>
  <c r="C43" i="48"/>
  <c r="C42" i="48"/>
  <c r="C41" i="48"/>
  <c r="C40" i="48"/>
  <c r="C39" i="48"/>
  <c r="C38" i="48"/>
  <c r="C37" i="48"/>
  <c r="D32" i="48"/>
  <c r="A32" i="48"/>
  <c r="A72" i="48" s="1"/>
  <c r="C31" i="48"/>
  <c r="C30" i="48"/>
  <c r="C29" i="48"/>
  <c r="C28" i="48"/>
  <c r="C27" i="48"/>
  <c r="C26" i="48"/>
  <c r="C25" i="48"/>
  <c r="C24" i="48"/>
  <c r="C23" i="48"/>
  <c r="C21" i="48"/>
  <c r="C19" i="48"/>
  <c r="C18" i="48"/>
  <c r="C17" i="48"/>
  <c r="C16" i="48"/>
  <c r="C15" i="48"/>
  <c r="C14" i="48"/>
  <c r="C13" i="48"/>
  <c r="C12" i="48"/>
  <c r="D52" i="57"/>
  <c r="D55" i="57" s="1"/>
  <c r="A52" i="57"/>
  <c r="A55" i="57" s="1"/>
  <c r="C51" i="57"/>
  <c r="C50" i="57"/>
  <c r="C49" i="57"/>
  <c r="C47" i="57"/>
  <c r="C46" i="57"/>
  <c r="C45" i="57"/>
  <c r="C44" i="57"/>
  <c r="C43" i="57"/>
  <c r="C42" i="57"/>
  <c r="C41" i="57"/>
  <c r="C40" i="57"/>
  <c r="C39" i="57"/>
  <c r="C38" i="57"/>
  <c r="C36" i="57"/>
  <c r="C35" i="57"/>
  <c r="C34" i="57"/>
  <c r="C33" i="57"/>
  <c r="C32" i="57"/>
  <c r="C31" i="57"/>
  <c r="C30" i="57"/>
  <c r="C29" i="57"/>
  <c r="C28" i="57"/>
  <c r="C27" i="57"/>
  <c r="C26" i="57"/>
  <c r="C24" i="57"/>
  <c r="C23" i="57"/>
  <c r="C22" i="57"/>
  <c r="C21" i="57"/>
  <c r="C20" i="57"/>
  <c r="C19" i="57"/>
  <c r="C18" i="57"/>
  <c r="C17" i="57"/>
  <c r="C16" i="57"/>
  <c r="C15" i="57"/>
  <c r="C14" i="57"/>
  <c r="C13" i="57"/>
  <c r="C12" i="57"/>
  <c r="C11" i="57"/>
  <c r="E56" i="47"/>
  <c r="A56" i="47"/>
  <c r="C54" i="47"/>
  <c r="C53" i="47"/>
  <c r="C52" i="47"/>
  <c r="C51" i="47"/>
  <c r="C50" i="47"/>
  <c r="C49" i="47"/>
  <c r="C48" i="47"/>
  <c r="E42" i="47"/>
  <c r="A42" i="47"/>
  <c r="E41" i="47"/>
  <c r="C41" i="47"/>
  <c r="C40" i="47"/>
  <c r="C39" i="47"/>
  <c r="C37" i="47"/>
  <c r="E32" i="47"/>
  <c r="A32" i="47"/>
  <c r="C31" i="47"/>
  <c r="C30" i="47"/>
  <c r="C29" i="47"/>
  <c r="E24" i="47"/>
  <c r="A24" i="47"/>
  <c r="C23" i="47"/>
  <c r="E17" i="47"/>
  <c r="A17" i="47"/>
  <c r="C15" i="47"/>
  <c r="C14" i="47"/>
  <c r="D45" i="46"/>
  <c r="A45" i="46"/>
  <c r="C44" i="46"/>
  <c r="C42" i="46"/>
  <c r="C41" i="46"/>
  <c r="C40" i="46"/>
  <c r="C39" i="46"/>
  <c r="C38" i="46"/>
  <c r="C35" i="46"/>
  <c r="C34" i="46"/>
  <c r="C33" i="46"/>
  <c r="C32" i="46"/>
  <c r="C31" i="46"/>
  <c r="C29" i="46"/>
  <c r="C28" i="46"/>
  <c r="D23" i="46"/>
  <c r="A23" i="46"/>
  <c r="C22" i="46"/>
  <c r="C21" i="46"/>
  <c r="D16" i="46"/>
  <c r="A16" i="46"/>
  <c r="C14" i="46"/>
  <c r="C12" i="46"/>
  <c r="C11" i="46"/>
  <c r="D36" i="45"/>
  <c r="A36" i="45"/>
  <c r="C31" i="45"/>
  <c r="C30" i="45"/>
  <c r="D24" i="45"/>
  <c r="A24" i="45"/>
  <c r="C23" i="45"/>
  <c r="C20" i="45"/>
  <c r="D15" i="45"/>
  <c r="D38" i="45" s="1"/>
  <c r="A15" i="45"/>
  <c r="A38" i="45" s="1"/>
  <c r="C13" i="45"/>
  <c r="C12" i="45"/>
  <c r="C11" i="45"/>
  <c r="D44" i="44"/>
  <c r="A44" i="44"/>
  <c r="C43" i="44"/>
  <c r="C42" i="44"/>
  <c r="D37" i="44"/>
  <c r="A37" i="44"/>
  <c r="C36" i="44"/>
  <c r="C35" i="44"/>
  <c r="C34" i="44"/>
  <c r="C33" i="44"/>
  <c r="D28" i="44"/>
  <c r="C27" i="44"/>
  <c r="A27" i="44"/>
  <c r="A28" i="44" s="1"/>
  <c r="C26" i="44"/>
  <c r="C25" i="44"/>
  <c r="C24" i="44"/>
  <c r="C23" i="44"/>
  <c r="C22" i="44"/>
  <c r="C21" i="44"/>
  <c r="C20" i="44"/>
  <c r="D15" i="44"/>
  <c r="A15" i="44"/>
  <c r="C14" i="44"/>
  <c r="C13" i="44"/>
  <c r="C12" i="44"/>
  <c r="C11" i="44"/>
  <c r="A45" i="51" l="1"/>
  <c r="D45" i="51"/>
  <c r="D46" i="50"/>
  <c r="A46" i="50"/>
  <c r="D56" i="49"/>
  <c r="A56" i="49"/>
  <c r="D72" i="48"/>
  <c r="E58" i="47"/>
  <c r="A58" i="47"/>
  <c r="A47" i="46"/>
  <c r="D47" i="46"/>
  <c r="D46" i="44"/>
  <c r="A46" i="44"/>
</calcChain>
</file>

<file path=xl/sharedStrings.xml><?xml version="1.0" encoding="utf-8"?>
<sst xmlns="http://schemas.openxmlformats.org/spreadsheetml/2006/main" count="2112" uniqueCount="789">
  <si>
    <t>MONSEÑOR NOUEL</t>
  </si>
  <si>
    <t>HOSPITAL MUNICIPAL PIEDRA BLANCA</t>
  </si>
  <si>
    <t>HOSPITAL PEDRO E. MARCHENA</t>
  </si>
  <si>
    <t>ZONA FRANCA INDUSTRIAL</t>
  </si>
  <si>
    <t>CENTRO PRIMER NIVEL DE ATENCIÓN SONADOR</t>
  </si>
  <si>
    <t>HOSPITAL MUNICIPAL MAIMON</t>
  </si>
  <si>
    <t>MONTE PLATA</t>
  </si>
  <si>
    <t>HOSPITAL MUNICIPAL ANGEL CONTRERAS</t>
  </si>
  <si>
    <t>HOSPITAL MUNICIPAL SANTO CRISTO DE LOS MILAGROS</t>
  </si>
  <si>
    <t>HOSPITAL MUNICIPAL PEDRO HEREDIA ROJAS (Sabana Grande de Boyá)</t>
  </si>
  <si>
    <t>HOSPITAL MUNICIPAL MONTE PLATA</t>
  </si>
  <si>
    <t>CENTRO PRIMER NIVEL DE ATENCIÓN EL GUINEO</t>
  </si>
  <si>
    <t>FARMACIAS DEL PUEBLO</t>
  </si>
  <si>
    <r>
      <t>Area (m</t>
    </r>
    <r>
      <rPr>
        <b/>
        <sz val="11"/>
        <color theme="1"/>
        <rFont val="Calibri"/>
        <family val="2"/>
      </rPr>
      <t>²)</t>
    </r>
  </si>
  <si>
    <t>Con A/A</t>
  </si>
  <si>
    <t>Si</t>
  </si>
  <si>
    <t>No</t>
  </si>
  <si>
    <t>HOSPITAL DR. ANTONIO YAPOUR HEDDED</t>
  </si>
  <si>
    <t>HOSPITAL DISTRITO MUNICIPAL SAN JOSE DE MATANZAS</t>
  </si>
  <si>
    <t>HOSPITAL MUNICIPAL EL FACTOR</t>
  </si>
  <si>
    <t>HOSPITAL MUNICIPAL DR. DESIDERIO ACOSTA</t>
  </si>
  <si>
    <t>HOSPITAL MUNICIPAL DR. VIRGILIO GARCIA</t>
  </si>
  <si>
    <t>MARIA TRINIDAD SANCHEZ</t>
  </si>
  <si>
    <t>LA ALTAGRACIA</t>
  </si>
  <si>
    <t>HOSPITAL MUNICIPAL DRA. EVANGELINA RODRIGUEZ PEROZO</t>
  </si>
  <si>
    <t>UNAP VERÓN, PUNTA CANA</t>
  </si>
  <si>
    <t xml:space="preserve">HOSPITAL PROVINCIAL NUESTRA SEÑORA DE LA ALTAGRACIA </t>
  </si>
  <si>
    <t>CENTRO DE ATENCION PRIMARIA LA OTRA BANDA</t>
  </si>
  <si>
    <t>HOSPITAL MUNICIPAL LAS LAGUNAS DE NISIBON</t>
  </si>
  <si>
    <t xml:space="preserve">CENTRO FAMILIAR CAMPO LINDO </t>
  </si>
  <si>
    <t>HOSPITAL MUNICIPAL TOMASINA VALDEZ</t>
  </si>
  <si>
    <t>ZONA FRANCA SAN ISIDRO</t>
  </si>
  <si>
    <t>HOSPITAL DR. RAMON DE LARA</t>
  </si>
  <si>
    <t>CENTRO DE ATENCION PRIMARIA SABANA YEGUA</t>
  </si>
  <si>
    <t>HOSPITAL DR. SIMON STRIDDELS</t>
  </si>
  <si>
    <t>HOSPITAL MUNICIPAL NUESTRA SEÑIORA DEL CARMEN</t>
  </si>
  <si>
    <t>AZUA</t>
  </si>
  <si>
    <t>BAHORUCO</t>
  </si>
  <si>
    <t>HOSPITAL MUNICIPAL DE LOS RIOS</t>
  </si>
  <si>
    <t>HOSPITAL MUNICIPAL ALFREDO GIL ROLDAN</t>
  </si>
  <si>
    <t>HOSPITAL SAN BARTOLOME</t>
  </si>
  <si>
    <t>Barahona</t>
  </si>
  <si>
    <t>CENTRO PRIMER NIVEL DE ATENCIÓN PESCADERIA</t>
  </si>
  <si>
    <t>SUB CENTRO ENRIQUILLO</t>
  </si>
  <si>
    <t>ZONA FRANCA BARAHONA</t>
  </si>
  <si>
    <t>HOSPITAL JAIME MOTA</t>
  </si>
  <si>
    <t>BATEY CENTRAL</t>
  </si>
  <si>
    <t xml:space="preserve">HOSPITAL MUNICIPAL CABRAL </t>
  </si>
  <si>
    <t>CENTRO PRIMER NIVEL DE ATENCIÓN JAQUIMEYES</t>
  </si>
  <si>
    <t>HOSPITAL MUNICIPAL VICENTE NOBLE</t>
  </si>
  <si>
    <t>BARAHONA</t>
  </si>
  <si>
    <t>DAJABON</t>
  </si>
  <si>
    <t>HOSPITAL RAMON ADRIANO VILLALONA</t>
  </si>
  <si>
    <t>HOSPITAL MUNICIPAL DE RESTAURACION</t>
  </si>
  <si>
    <t>HOSPITAL PROVINCIAL GENERAL MATIAS RAMON MELLA</t>
  </si>
  <si>
    <t>DUARTE</t>
  </si>
  <si>
    <t>HOSPITAL MUNICIPAL LAS GUARANAS</t>
  </si>
  <si>
    <t xml:space="preserve">CLUB GREGORIO LUPERON </t>
  </si>
  <si>
    <t>CENTRO DE ATENCION PRIMARIA LA ROSA DE CENOVI</t>
  </si>
  <si>
    <t>CENTRO PRIMER NIVEL DE ATENCION CRISTO REY DE GUARAGUAO</t>
  </si>
  <si>
    <t>CENTRO  PRIMER NIVEL DE ATENCION AGUA SANTA DEL YUNA</t>
  </si>
  <si>
    <t>HOSPITAL MUNICIPAL DE CENOVI</t>
  </si>
  <si>
    <t>HOSPITAL REGIONAL SAN VICENTE DE PAUL</t>
  </si>
  <si>
    <t>HOSPITAL MUNICIPAL DE CASTILLO</t>
  </si>
  <si>
    <t>HOSPITAL MUNICIPAL DE ARENOSO</t>
  </si>
  <si>
    <t>CENTRO UNIVERSITARIO REGIONAL DEL NORDESTE (CURNE)</t>
  </si>
  <si>
    <t>HOSPITAL DR. FELIPE ACHECAR</t>
  </si>
  <si>
    <t>HOSPITAL MUNICIPAL ALICIA DE LEGENDRE</t>
  </si>
  <si>
    <t>CENTRO DE SALUD INTEGRAL PROFAMILIA (CLUB ROTARIO)</t>
  </si>
  <si>
    <t>EL SEIBO</t>
  </si>
  <si>
    <t>HOSPITAL TEOFILO HERNANDEZ</t>
  </si>
  <si>
    <t>ELIAS PIÑA</t>
  </si>
  <si>
    <t>HOSPITAL ROSA DUARTE</t>
  </si>
  <si>
    <t>SUB CENTRO BÁNICA</t>
  </si>
  <si>
    <t>CENTRO DE ATENCION PRIMARIA SABANA LARGA</t>
  </si>
  <si>
    <t>HOSPITAL MUNICIPAL HONDO VALLE</t>
  </si>
  <si>
    <t>ESPAILLAT</t>
  </si>
  <si>
    <t>ZONA FRANCA MOCA</t>
  </si>
  <si>
    <t>BENEMERITO CUERPO DE BOMBEROS MOCA</t>
  </si>
  <si>
    <t xml:space="preserve">HOSPITAL GENERAL JAMAO AL NORTE </t>
  </si>
  <si>
    <t>HOSP. MUNICIPAL MANUEL DE LUNA GASPAR HERNANDEZ</t>
  </si>
  <si>
    <t>GERENCIA AREA DE SALUD ESPAILLAT II-4, MOCA</t>
  </si>
  <si>
    <t>HOSPITAL PROVINCIAL DR. TORIBIO BENCOSME</t>
  </si>
  <si>
    <t>CENTRO PRIMER NIVEL DE ATENCIÓN VERAGUA</t>
  </si>
  <si>
    <t>HOSPITAL MUNICIPAL DR. RAFAEL GUTIERREZ SANCHEZ</t>
  </si>
  <si>
    <t xml:space="preserve">CENTRO DE ATENCION PRIMARIA JUAN LOPEZ </t>
  </si>
  <si>
    <t>HATO MAYOR</t>
  </si>
  <si>
    <t xml:space="preserve">CENTRO DE ATENCION PRIMARIA ONDINA </t>
  </si>
  <si>
    <t>HOSPITAL MUNICIPAL ELUPINA CORDERO</t>
  </si>
  <si>
    <t>HOSPITAL MUNICIPAL LEOPOLDO MARTINEZ</t>
  </si>
  <si>
    <t>HERMANAS MIRABAL</t>
  </si>
  <si>
    <t>HOSPITAL PASCASIO TORIBIO PIANTINI</t>
  </si>
  <si>
    <t>HOSPITAL MUNICIPAL DR. ANGEL CONCEPCION LAJARA</t>
  </si>
  <si>
    <t>CENTRO DE ATENCION PRIMARIA VILLA TAPIA</t>
  </si>
  <si>
    <t>INDEPENDENCIA</t>
  </si>
  <si>
    <t>HOSPITAL DR. JOSE PEREZ</t>
  </si>
  <si>
    <t>CENTRO DE ATENCION PRIMARIA MELLA</t>
  </si>
  <si>
    <t>CENTRO DE ATENCION PRIMARIA COLONIA MIXTA</t>
  </si>
  <si>
    <t>HOSPITAL GENERAL MELENCIANO</t>
  </si>
  <si>
    <t>LA ROMANA</t>
  </si>
  <si>
    <t>LA VEGA</t>
  </si>
  <si>
    <t xml:space="preserve">HOSPITAL PEDRO ANTONIO CÉSPEDES </t>
  </si>
  <si>
    <t>BARRANCA LA VEGA</t>
  </si>
  <si>
    <t>CENTRO DE ATENCION PRIMARIA JIMA ABAJO</t>
  </si>
  <si>
    <t>HOSPITAL TRAUMATOLOGICO PROFESOR JUAN BOSCH</t>
  </si>
  <si>
    <t>HOSPITAL LUIS MORILLO KING</t>
  </si>
  <si>
    <t>HOSPITAL DRA. OCTAVIA GAUTIER VIDAL</t>
  </si>
  <si>
    <t>COOPERATIVA VEGA REAL, CONSTANZA</t>
  </si>
  <si>
    <t>COOPERATIVA VEGA REAL, LA VEGA</t>
  </si>
  <si>
    <t>HOSPITAL MUNICIPAL JUAN ANTONIO CASTILLO</t>
  </si>
  <si>
    <t>BARRIO LA COLONIA JAPONESA</t>
  </si>
  <si>
    <t>ZONA FRANCA LA VEGA</t>
  </si>
  <si>
    <t>MONTECRISTI</t>
  </si>
  <si>
    <t>CENTRO DE ATENCION PRIMARIA LAS MATAS DE SANTA CRUZ</t>
  </si>
  <si>
    <t>HOSPITAL MUNICIPAL DE CASTAÑUELAS</t>
  </si>
  <si>
    <t>CENTRO PIMER NIVEL DE ATENCION CANACHAPETON</t>
  </si>
  <si>
    <t>PEDERNALES</t>
  </si>
  <si>
    <t>HOSPITAL MUNICIPAL DE SALUD NIZAO</t>
  </si>
  <si>
    <t>HOSPITAL MUNICIPAL VILLA FUNDACION</t>
  </si>
  <si>
    <t>HOSPITAL NUESTRA SEÑORA DE REGLA</t>
  </si>
  <si>
    <t>CENTRO DE ATENCION PRIMARIA VILLA SOMBRERO</t>
  </si>
  <si>
    <t>PERAVIA</t>
  </si>
  <si>
    <t>PUERTO PLATA</t>
  </si>
  <si>
    <t>SABANETA DE YASICA</t>
  </si>
  <si>
    <t>CENTRO SANITARIO  PUERTO PLATA</t>
  </si>
  <si>
    <t>CENTRO DE ATENCION PRIMARIA LOS CHARAMICOS</t>
  </si>
  <si>
    <t xml:space="preserve">HOSPITAL MUNICIPAL DE IMBERT </t>
  </si>
  <si>
    <t>HOSPITAL MUNICIPAL JOAQUIN MENDOZA</t>
  </si>
  <si>
    <t>HOSPITAL MUNICIPAL OCTAVIANO ESTRELLA MADERA</t>
  </si>
  <si>
    <t>CENTRO UNIVERSITARIO REGIONAL DEL ATLANTICO (CURA-UASD)</t>
  </si>
  <si>
    <t>HOSPITAL MUNICIPAL  DOLORES DE LA CRUZ</t>
  </si>
  <si>
    <t>HOSPITAL MUNICIPAL LOS HIDALGOS</t>
  </si>
  <si>
    <t>SAMANA</t>
  </si>
  <si>
    <t>HOSPITAL LEOPOLDO POU</t>
  </si>
  <si>
    <t>HOSPITAL LIC. PABLO A. PAULINO</t>
  </si>
  <si>
    <t>HOSPITAL ALBERTO GAUTREAUX</t>
  </si>
  <si>
    <t>CENTRO PRIMER NIVEL DE ATENCIÓN LAS GALERAS</t>
  </si>
  <si>
    <t>HOSPITAL CENTRO MATERNO INFANTIL NATIVIDAD ALCALA, (EL LIMON)</t>
  </si>
  <si>
    <t>SAN CRISTOBAL</t>
  </si>
  <si>
    <t>CENTRO DE ATENCION PRIMARIA CAMBITA EL CRUCE</t>
  </si>
  <si>
    <t>CENTRO DE ATENCION PRIMARIA QUITA SUEÑO</t>
  </si>
  <si>
    <t>HOSPITAL MUNICIPAL MATERNIDAD VILLA ALTAGRACIA</t>
  </si>
  <si>
    <t>SUBCENTRO MOSCU</t>
  </si>
  <si>
    <t>CENTRO DE REHABILITACION NAJAYO HOMBRES</t>
  </si>
  <si>
    <t>HOSPITAL MUNICIPAL CAMBITA EL PUEBLO</t>
  </si>
  <si>
    <t xml:space="preserve">DISPENSARIO MEDICO  SAN JOSE </t>
  </si>
  <si>
    <t>HOSPITAL MUNICIPAL YAGUATE</t>
  </si>
  <si>
    <t>ZONA FRANCA ARMERIA</t>
  </si>
  <si>
    <t>MADRE VIEJA SUR</t>
  </si>
  <si>
    <t>UNAP SEMANA SANTA</t>
  </si>
  <si>
    <t>HOSPITAL JUAN PABLO PINA</t>
  </si>
  <si>
    <t>SAN JOSE DE OCOA</t>
  </si>
  <si>
    <t>HOSPITAL SAN JOSE DE OCOA</t>
  </si>
  <si>
    <t>HOSPITAL DR. GUARIONEX ALCANTARA</t>
  </si>
  <si>
    <t>SAN JUAN DE LA MAGUANA</t>
  </si>
  <si>
    <t>HOSPITAL DR. FEDERICO ARMANDO AYBAR</t>
  </si>
  <si>
    <t>HOSPITAL MUNICIPAL  EL CERCADO</t>
  </si>
  <si>
    <t xml:space="preserve">HOSPITAL REGIONAL DR. ALEJANDRO CABRAL </t>
  </si>
  <si>
    <t>CENTRO PRIMER NIVEL DE ATENCIÓN ARROYO CANO</t>
  </si>
  <si>
    <t>HOSPITAL MUNICIPAL DE JUAN HERRERA</t>
  </si>
  <si>
    <t>CENTRO DE ATENCION PRIMARIA BOHECHIO</t>
  </si>
  <si>
    <t>SAN PEDRO DE MACORIS</t>
  </si>
  <si>
    <t>CENTRO PRIMER NIVEL DE ATENCIÓN EL PUERTO</t>
  </si>
  <si>
    <t>UNIDAD DE ATENCIÓN PRIMARIA QUISQUEYA</t>
  </si>
  <si>
    <t>HOSPITAL MUNICIPAL DR. PEDRO MARÍA SANTANA(LOS LLANOS)</t>
  </si>
  <si>
    <t>PRO INDUSTRIA (ZONA FRANCA) SAN PEDRO DE MACORIS</t>
  </si>
  <si>
    <t xml:space="preserve">HOSPITAL MUNICIPAL DR. ALEJO MARTINEZ GARCIA </t>
  </si>
  <si>
    <t>HOSPITAL MUNICIPAL BARRIO LINDO</t>
  </si>
  <si>
    <t>UNIVERSIDAD CENTRAL DEL ESTE (UCE)</t>
  </si>
  <si>
    <t>HOSPITAL REGIONAL DR. ANTONIO MUSA</t>
  </si>
  <si>
    <t>FUNDACION CLINICA MATERNO INFANTIL PLAZA 30/30 (FUNDACION SAMMY SOSA)</t>
  </si>
  <si>
    <t>SANCHEZ RAMIREZ</t>
  </si>
  <si>
    <t>HOSPITAL DR. SIGFREDO ALBA</t>
  </si>
  <si>
    <t>HOSPITAL INMACULADA CONCEPCION</t>
  </si>
  <si>
    <t>HOSPITAL MUNICIPAL DE  CEVICOS</t>
  </si>
  <si>
    <t>CENTRO DE ATENCION PRIMARIA LA MATA</t>
  </si>
  <si>
    <t>UNAP LA CUEVA</t>
  </si>
  <si>
    <t>SANTIAGO</t>
  </si>
  <si>
    <t>ZONA CORPORATION DE CLASE, GURABO</t>
  </si>
  <si>
    <t>HOSPITAL MUNICIPAL DE TAMBORIL</t>
  </si>
  <si>
    <t>HOSPITAL PERIFERICO ENSANCHE LIBERTAD</t>
  </si>
  <si>
    <t>HOSPITAL MUNICIPAL DR. NAPIER DIAZ GONZALEZ (S/C VILLA GONZALEZ)</t>
  </si>
  <si>
    <t>PARQUE INDUSTRIAL VICTOR MANUEL ESPAILLAT II</t>
  </si>
  <si>
    <t>CENTRO DE ATENCION PRIMARIA LA CANELA</t>
  </si>
  <si>
    <t xml:space="preserve">HOSPITAL MUNICIPAL SAN JOSE DE LAS MATAS </t>
  </si>
  <si>
    <t>CENTRO DE ATENCION PRIMARIA ENSANCHE BERMUDEZ (DR. BARRANCO)</t>
  </si>
  <si>
    <t>CENTRO REGIONAL UNIVERSITARIO DE SANTIAGO</t>
  </si>
  <si>
    <t xml:space="preserve">CENTRO DE ATENCION PRIMARIA ANA CRUZ </t>
  </si>
  <si>
    <t>CENTRO PRIMER NIVEL DE ATENCIÓN JUNCALITO</t>
  </si>
  <si>
    <t>HOSPITAL REGIONAL INFANTIL DR. ARTURO GRULLON</t>
  </si>
  <si>
    <t>HOSPITAL PERIFERICO DE CIEN FUEGOS</t>
  </si>
  <si>
    <t>PARQUE INDUSTRIAL VICTOR MANUEL ESPAILLAT I</t>
  </si>
  <si>
    <t>OFICINA METROPOLITANA DE SERVICIOS DE AUTOBUSES (OMSA)</t>
  </si>
  <si>
    <t>CENTRO DE SALUD INTEGRAL DE BELLA VISTA</t>
  </si>
  <si>
    <t>AYUNTAMIENTO MUNICIPAL DE SANTIAGO</t>
  </si>
  <si>
    <t>HOSPITAL MUNICIPAL HATO DEL YAQUE</t>
  </si>
  <si>
    <t>HOSPITAL PERIFERICO MONTE ADENTRO</t>
  </si>
  <si>
    <t xml:space="preserve">SUBCENTRO DE SALUD SABANA IGLESIA </t>
  </si>
  <si>
    <t>SUBCENTRO DE SALUD KOREA (JUAN XXIII)</t>
  </si>
  <si>
    <t>ACERO ESTRELLA</t>
  </si>
  <si>
    <t>HOSPITAL MUNICIPAL LILIAN FERNANDEZ NAVARRETE</t>
  </si>
  <si>
    <t xml:space="preserve">SINDICATO NACIONAL DE CHOFERES DE SANTIAGO </t>
  </si>
  <si>
    <t>CORREDOR OMSA</t>
  </si>
  <si>
    <t>CENTRO DE ATENCION PRIMARIA HOYA DEL CAIMITO</t>
  </si>
  <si>
    <t>SUBCENTRO LICEY AL MEDIO</t>
  </si>
  <si>
    <t>CENTRO DE ATENCION PRIMARIA BUEN PASTOR</t>
  </si>
  <si>
    <t xml:space="preserve">SUBCENTRO LOS CIRUELITOS </t>
  </si>
  <si>
    <t>CENTRO DE ATENCION PRIMARIA BUENOS AIRES</t>
  </si>
  <si>
    <t xml:space="preserve">SUBCENTRO SAN NICOLAS </t>
  </si>
  <si>
    <t>SANTIAGO RODRIGUEZ</t>
  </si>
  <si>
    <t xml:space="preserve">HOSPITAL MUNICIPAL MONCIÓN </t>
  </si>
  <si>
    <t>VALVERDE</t>
  </si>
  <si>
    <t>HOSPITAL MUNICIPAL DE ESPERANZA</t>
  </si>
  <si>
    <t>INSTITUTO AGRARIO DOMINICANO (TALLER MECANICA I.A.D)</t>
  </si>
  <si>
    <t>CENTRO UNIVERSITARIO REGIONAL DEL NOROESTE (CURNO)</t>
  </si>
  <si>
    <t>ZONA FRANCA ESPERANZA</t>
  </si>
  <si>
    <t>UNAP LA CAYA</t>
  </si>
  <si>
    <t>HOSPITAL MUNICIPAL LAGUNA SALADA</t>
  </si>
  <si>
    <t>CENTRO DE ATENCION PRIMARIA LAGUNA SALADA</t>
  </si>
  <si>
    <t>CENTRO PRIMER NIVEL DE ATENCIÓN DAMAJAGUA</t>
  </si>
  <si>
    <t>CENTRO PRIMER NIVEL DE ATENCIÓN AMINA</t>
  </si>
  <si>
    <t>SUBCENTRO SANITARIO GALVAN</t>
  </si>
  <si>
    <t>HERMANDAD DE PENSIONADOS DE LAS FUERZAS ARMADAS Y LA POLICIA NACIONAL</t>
  </si>
  <si>
    <t xml:space="preserve">UNIVERSIDAD AUTONOMA DE  SANTO DOMINGO </t>
  </si>
  <si>
    <t xml:space="preserve">MINISTERIO  DE OBRAS PUBLICAS </t>
  </si>
  <si>
    <t>HOSPITAL GENERAL SANTO SOCORRO</t>
  </si>
  <si>
    <t>MINISTERIO  DE TRABAJO (SECRETARIA DE ESTADO DE TRABAJO)</t>
  </si>
  <si>
    <t>ORTEGA Y GASSET</t>
  </si>
  <si>
    <t>D/M CORPORACION ACUEDUCTO Y ALCANTARILLADO DE SANTO DOMINGO (CAASD)</t>
  </si>
  <si>
    <t>KM 7 1/2, CARRETERA SÁNCHEZ</t>
  </si>
  <si>
    <t>SUB CENTRO MATA HAMBRE</t>
  </si>
  <si>
    <t>SINDICATO DE TRABAJADORES PORTUARIOS DE ARRIMO (POASI)</t>
  </si>
  <si>
    <t>INSTITUTO AGRARIO DOMINICANO (IAD)</t>
  </si>
  <si>
    <t>ESCUELA EMILIO RODRIGUEZ DEMORIZI (LA ZURZA I)</t>
  </si>
  <si>
    <t>HOSPITAL DE MATERNIDAD NUESTRA SEÑORA DE LA ALTAGRACIA</t>
  </si>
  <si>
    <t>INSTITUTO TECNOLOGICO DE SANTO DOMINGO, (INTEC)</t>
  </si>
  <si>
    <t>SUBCENTRO GUACHUPITA</t>
  </si>
  <si>
    <t>CENTRAL GENERAL DE TRABAJADORES (C.G.T.)</t>
  </si>
  <si>
    <t>FUNDACION BENDICION DE DIOS</t>
  </si>
  <si>
    <t xml:space="preserve">MINISTERIO DE SALUD PUBLICA </t>
  </si>
  <si>
    <t>CLUB SAN CARLOS</t>
  </si>
  <si>
    <t>LOTERIA NACIONAL</t>
  </si>
  <si>
    <t>ASOCIACION DE PENSIONADOS DE LA C.D.E.</t>
  </si>
  <si>
    <t xml:space="preserve">SUBCENTRO LA AGUSTINITA </t>
  </si>
  <si>
    <t>SUBCENTRO YOLANDA GUZMAN</t>
  </si>
  <si>
    <t>CUARTEL GENERAL DE LOS BOMBEROS (BOMBEROS)</t>
  </si>
  <si>
    <t>COLEGIO MEDICO DOMINICANO (AMD)</t>
  </si>
  <si>
    <t>S/C PARROQUIA SANTA ANA</t>
  </si>
  <si>
    <t>CENTRO ANTIRRÁBICO NACIONAL</t>
  </si>
  <si>
    <t>AYUNTAMIENTO DISTRITO NACIONAL (ESTACION DE TRANSFERENCIA)</t>
  </si>
  <si>
    <t>COLEGIO DOMINICANO DE PERIODISTAS (SINDICATO DE PRENSA)</t>
  </si>
  <si>
    <t xml:space="preserve">VIDA F.M </t>
  </si>
  <si>
    <t>CRUZ ROJA DOMINICANA</t>
  </si>
  <si>
    <t>HOSPITAL INFANTIL ROBERT REID CABRAL</t>
  </si>
  <si>
    <t>INSTITUTO NACIONAL DE AUXILIOS Y VIVIENDAS (INAVI)</t>
  </si>
  <si>
    <t>SANTO DOMINGO ESTE</t>
  </si>
  <si>
    <t>HOSPITAL SAN LORENZO DE LOS MINAS</t>
  </si>
  <si>
    <t>CENTRO DE SALUD FAMILIAR SAN BARTOLO (LOS FRAILES 11)</t>
  </si>
  <si>
    <t>CENTRO DE ATENCION PRIMARIA LOS FRAILES II (C/M BARRIO NUEVO)</t>
  </si>
  <si>
    <t>OFICINA NACIONAL DE METEOROLOGIA</t>
  </si>
  <si>
    <t>CAP Aldeas Los Minas</t>
  </si>
  <si>
    <t>HOSPITAL MUNICIPAL DE SAN LUIS (Ingenio Ozama)</t>
  </si>
  <si>
    <t>DIRECCIÓN GENERAL DE  EMBELLECIMIENTO DE LAS CARRETAS Y AVENIDAS DE CIRCUNVALACION DEL PAIS Y CRUZADA CÍVICA</t>
  </si>
  <si>
    <t>PLAN SOCIAL DE LA PRESIDENCIA DE LA REPUBLICA</t>
  </si>
  <si>
    <t>HOSPITAL DOCENTE UNIVERSITARIO DR. DARIO CONTRERAS</t>
  </si>
  <si>
    <t>UNIDAD DE ATENCION PRIMARIA LOS FRAILES 1</t>
  </si>
  <si>
    <t>CAP LA ISABELA</t>
  </si>
  <si>
    <t>HERMANAS DE LA CARIDAD DEL CARDENAL SANCHA POLITECNICO MARIA DE LA ALTAGRACIA</t>
  </si>
  <si>
    <t>SUB CENTRO  VIETNAN</t>
  </si>
  <si>
    <t>DISPENSARIO MEDICO F.A.D. (El Bonito)</t>
  </si>
  <si>
    <t>SUB CENTRO MENDOZA</t>
  </si>
  <si>
    <t>DISTRITO NACIONAL</t>
  </si>
  <si>
    <t>SANTO DOMINGO NORTE</t>
  </si>
  <si>
    <t>CENTRO DE ATENCION PRIMARIA EL PROGRESO</t>
  </si>
  <si>
    <t>CAP FUNDACOSI XXI</t>
  </si>
  <si>
    <t>SUBCENTRO AVE MARIA (Comité de Apoyo Comuntario)</t>
  </si>
  <si>
    <t>CENTRO DE ATENCION PRIMARIA  JUNTA DE VECINOS SALOME UREÑA</t>
  </si>
  <si>
    <t>SUBCENTRO  GUARICANOS</t>
  </si>
  <si>
    <t>CENTRO DE ATENCION PRIMARIA LOTES Y SERVICIOS</t>
  </si>
  <si>
    <t>CENTRO DE ATENCION PRIMARIA DE  HACIENDA ESTRELLA</t>
  </si>
  <si>
    <t>HOSPITAL MUNICIPAL DE LA VICTORIA</t>
  </si>
  <si>
    <t>SANTO DOMINGO OESTE</t>
  </si>
  <si>
    <t>CENTRO DE OPERACIONES CDE (CDE HERRERA)</t>
  </si>
  <si>
    <t>DISPENSARIO MEDICO MANGANAGUA</t>
  </si>
  <si>
    <t xml:space="preserve">AUTORIDAD PORTUARIA DOMINICANA </t>
  </si>
  <si>
    <t>S/C DRA. EVANGELINA RODRIGUEZ (REPARTO ROSA)</t>
  </si>
  <si>
    <t>CENTRO DE ATENCION PRIMARIA LOS PERALEJOS (Nuestra Sra. de Lourdes)</t>
  </si>
  <si>
    <t>MOVEARTE</t>
  </si>
  <si>
    <t>DISPENSARIO HERMANOS QUINTERO (SANTA TERESITA DE JESUS)</t>
  </si>
  <si>
    <t>SUBCENTRO ONG  BELLAS COLINAS</t>
  </si>
  <si>
    <t>PLAZA JEAN LUIS</t>
  </si>
  <si>
    <t>SUB CENTRO LIBERTADOR DE HERRERA</t>
  </si>
  <si>
    <t>HOSPITAL RODOLFO DE LA CRUZ LORA</t>
  </si>
  <si>
    <t>SUBCENTRO DR. DIAZ PIÑEYRO</t>
  </si>
  <si>
    <t>CENTRO DE ATENCION PRIMARIA ALCARRIZO I</t>
  </si>
  <si>
    <t>MINISTERIO DE LAS FUERZAS ARMADAS   (SECRETARIA DE ESTADO DE LAS FUERZAS ARMADAS)</t>
  </si>
  <si>
    <t>D/M BAYONA</t>
  </si>
  <si>
    <t>CONSULTORIO FAMILIAR BARRIO DUARTE</t>
  </si>
  <si>
    <t>HOSPITAL MUNICIPAL ENGOMBE</t>
  </si>
  <si>
    <t>Azua</t>
  </si>
  <si>
    <t>Bahoruco</t>
  </si>
  <si>
    <t>Distrito Nacional</t>
  </si>
  <si>
    <t>Duarte</t>
  </si>
  <si>
    <t>Elias Piña</t>
  </si>
  <si>
    <t>Espaillat</t>
  </si>
  <si>
    <t>Hato Mayor</t>
  </si>
  <si>
    <t>Hermanas Mirabal</t>
  </si>
  <si>
    <t>Independencia</t>
  </si>
  <si>
    <t>La Altagracia</t>
  </si>
  <si>
    <t>La Romana</t>
  </si>
  <si>
    <t>La Vega</t>
  </si>
  <si>
    <t>Monte Plata</t>
  </si>
  <si>
    <t>Montecristi</t>
  </si>
  <si>
    <t>Pedernales</t>
  </si>
  <si>
    <t>Peravia</t>
  </si>
  <si>
    <t>Puerto Plata</t>
  </si>
  <si>
    <t>San Jose de Ocoa</t>
  </si>
  <si>
    <t>San Juan de la Maguana</t>
  </si>
  <si>
    <t>Sanchez Ramirez</t>
  </si>
  <si>
    <t>Santiago</t>
  </si>
  <si>
    <t>Santo Domingo Este</t>
  </si>
  <si>
    <t>Santo Domingo Norte</t>
  </si>
  <si>
    <t>Santo Domingo Oeste</t>
  </si>
  <si>
    <t>Valverde</t>
  </si>
  <si>
    <t>Cant.</t>
  </si>
  <si>
    <t>Provincias</t>
  </si>
  <si>
    <t>Cantidad de Farmacias</t>
  </si>
  <si>
    <t>El Seibo</t>
  </si>
  <si>
    <t>HOSPITAL ELIO FIALLO</t>
  </si>
  <si>
    <t>CENTRO PRIMER NIVEL DE ATENCIÓN JUANCHO</t>
  </si>
  <si>
    <t>HOSPITAL DE PARTIDO</t>
  </si>
  <si>
    <t>PRO INDUSTRIA (ZONA FRANCA) HIGUEY</t>
  </si>
  <si>
    <t>CENTRO DE ATENCION PRIMARIA DR. LUIS JOAQUIN SUAREZ</t>
  </si>
  <si>
    <t>HOSPITAL PROVINCIAL DR. FRANCISCO ANTONIO GONZALVO</t>
  </si>
  <si>
    <t>PRO INDUSTRIA (ZONA FRANCA) LA ROMANA</t>
  </si>
  <si>
    <t xml:space="preserve">HOSPITAL MUNICIPAL DE GUAYMATE </t>
  </si>
  <si>
    <t>CENTRO DE ATENCION PRIMARIA VILLA HERMOSA (LOS MULOS)</t>
  </si>
  <si>
    <t>CENTRO DE ATENCION PRIMARIA BARRIO NUEVO</t>
  </si>
  <si>
    <t>HOSPITAL MUNICIPAL DE MICHES</t>
  </si>
  <si>
    <t>ZONA FRANCA LOS ALCARRIZOS</t>
  </si>
  <si>
    <t>HOSPITAL MUNICIPAL LAS CAOBAS</t>
  </si>
  <si>
    <t>HOSPITAL MUNICIPAL JULIA SANTANA</t>
  </si>
  <si>
    <t xml:space="preserve">CENTRO DE ATENCION PRIMARIA EL PINTADO, CRUCE DE PAVON </t>
  </si>
  <si>
    <t>Mantenimiento 2016</t>
  </si>
  <si>
    <t>CENTRO DE ATENCION PRIMARIA PARROQUIAL PADRE FANTINO</t>
  </si>
  <si>
    <t>HOSPITAL MUNICIPAL DE YAMASA</t>
  </si>
  <si>
    <t>HOSPITAL PADRE FANTINO</t>
  </si>
  <si>
    <t>HOSPITAL MUNICIPAL DE VILLA VASQUEZ</t>
  </si>
  <si>
    <t>CENTRO PRIMER NIVEL DE ATENCIÓN CAÑAFISTOL</t>
  </si>
  <si>
    <t>HOSPITAL RICARDO LIMARDO</t>
  </si>
  <si>
    <t>CLÍNICA RURAL CAMPAMENTO 16 DE AGOSTO</t>
  </si>
  <si>
    <t>PARQUE INDUSTRIAL ITABO</t>
  </si>
  <si>
    <t>ZONA FRANCA VILLA ALTAGRACIA</t>
  </si>
  <si>
    <t>HOSPITAL GENERAL SANTIAGO RODRÍGUEZ</t>
  </si>
  <si>
    <t>HOSPITAL MUNICIPAL LUIS L. BOGAERT</t>
  </si>
  <si>
    <t>CORPORACION ESTATAL DE RADIO Y TELEVISION (CERTV)</t>
  </si>
  <si>
    <t>HOSPITAL REGIONAL TAIWAN 19 DE MARZO</t>
  </si>
  <si>
    <t xml:space="preserve">HOSPITAL CENTRAL DE LAS FUERZAS ARMADAS </t>
  </si>
  <si>
    <t>FEDERACION DE MAESTROS CONSTRUCTORES</t>
  </si>
  <si>
    <t>INSTITUTO NACIONAL DE AGUAS POTABLES Y ALCANTARILLADOS (INAPA)</t>
  </si>
  <si>
    <t>HOSPITAL DOCENTE PADRE BILLINI</t>
  </si>
  <si>
    <t>HOSPITAL DR. FRANCISCO MOSCOSO PUELLO</t>
  </si>
  <si>
    <t>SUBCENTRO LA TRINIDAD</t>
  </si>
  <si>
    <t>si</t>
  </si>
  <si>
    <t>CENTRO DE SALUD SANTA MARÍA REINA</t>
  </si>
  <si>
    <t>SUB CENTRO LOS MINAS</t>
  </si>
  <si>
    <t>HOSPITAL EL ALMIRANTE</t>
  </si>
  <si>
    <t>3 meses</t>
  </si>
  <si>
    <t>Tiempo de Ejecucion</t>
  </si>
  <si>
    <t>Zona</t>
  </si>
  <si>
    <t>I</t>
  </si>
  <si>
    <t>II</t>
  </si>
  <si>
    <t>III</t>
  </si>
  <si>
    <t>IV</t>
  </si>
  <si>
    <t>V</t>
  </si>
  <si>
    <t>VI</t>
  </si>
  <si>
    <t>VII</t>
  </si>
  <si>
    <t>VIII</t>
  </si>
  <si>
    <t>IX</t>
  </si>
  <si>
    <t>X</t>
  </si>
  <si>
    <t>TOTAL COSTO MANTENIMIENTO FPS</t>
  </si>
  <si>
    <t>Costo de Direccion</t>
  </si>
  <si>
    <t>HOSPITAL MARIA PANIAGUA, SAN GREGORIO DE NIGUA</t>
  </si>
  <si>
    <t>ZONA X</t>
  </si>
  <si>
    <t>ZONA I</t>
  </si>
  <si>
    <t>ZONA IX</t>
  </si>
  <si>
    <t>ZONA VIII</t>
  </si>
  <si>
    <t>ZONA VII</t>
  </si>
  <si>
    <t>ZONA VI</t>
  </si>
  <si>
    <t>ZONA V</t>
  </si>
  <si>
    <t>ZONA IV</t>
  </si>
  <si>
    <t>ZONA III</t>
  </si>
  <si>
    <t>ZONA II</t>
  </si>
  <si>
    <t>CIUDAD SALUD</t>
  </si>
  <si>
    <t>Zonas</t>
  </si>
  <si>
    <t>SAMANÁ</t>
  </si>
  <si>
    <t>TOTALES</t>
  </si>
  <si>
    <t>HOSPITAL MUNICIPAL NUESTRA SEÑORA DEL CARMEN</t>
  </si>
  <si>
    <t>CAP ALDEAS LOS MINAS</t>
  </si>
  <si>
    <t>No.</t>
  </si>
  <si>
    <t xml:space="preserve">HOSPITAL MUNICIPAL ALCARRIZOS II </t>
  </si>
  <si>
    <t xml:space="preserve">Costo Mantenimiento </t>
  </si>
  <si>
    <t>Costo Mantenimiento</t>
  </si>
  <si>
    <t>CORREDOR OMSA, GURABO</t>
  </si>
  <si>
    <t>Tiempo de Ejecución</t>
  </si>
  <si>
    <t>San Cristóbal</t>
  </si>
  <si>
    <t>San Pedro de Macorís</t>
  </si>
  <si>
    <t>Monseñor Nouel</t>
  </si>
  <si>
    <t>María Trinidad Sánchez</t>
  </si>
  <si>
    <t>Samaná</t>
  </si>
  <si>
    <t>Dajabón</t>
  </si>
  <si>
    <t>Santiago Rodríguez</t>
  </si>
  <si>
    <t>PROVINCIA</t>
  </si>
  <si>
    <t>DIRECCION</t>
  </si>
  <si>
    <t>FLOTA No.</t>
  </si>
  <si>
    <t>HORARIO</t>
  </si>
  <si>
    <t>LUNES-VIERNES 8:00 A.M. A 4:00 P.M.</t>
  </si>
  <si>
    <t>C/ INDEPENDENCIA ESQ. 27 DE FEBRERO</t>
  </si>
  <si>
    <t>LUNES-VIERNES 8:00 A.M. A 6:00 P.M. SABADO 8:00 A.M. A 4:00 P.M. Y DOMINGO 8:00 A.M. A 12:00 P.M.</t>
  </si>
  <si>
    <t>CALLE RAMON MATIAS MELLA, ESQ. MARCOS MEDINA, PROVINCIA AZUA</t>
  </si>
  <si>
    <t>C/ CESAR EVEREST CRISPIN, BARRIO NUEVO, MUNICIPIO PADRE LAS CASAS</t>
  </si>
  <si>
    <t>C/MAMBOY, No.2, MUNICIPIO LOS RIOS</t>
  </si>
  <si>
    <t>27 DE FEBRERO, No.139, MUNICIPIO VILLA JARAGUA</t>
  </si>
  <si>
    <t>PROLONGACION 27 DE FBRERO #04, MUNICIPIO NEIBA</t>
  </si>
  <si>
    <t>HOSPITAL  MUNICIPAL JULIA SANTANA</t>
  </si>
  <si>
    <t>CALLE FABIAN MATOS MUNICIPIO TAMAYO</t>
  </si>
  <si>
    <t>HOSPITAL MUNICIPAL ENRIQUILLO</t>
  </si>
  <si>
    <t>C/ DR. TOMAS SANCHEZ #6, MUNICIPIO ENRIQUILLO</t>
  </si>
  <si>
    <t>C/CASANDRA DAMIRON,No.10</t>
  </si>
  <si>
    <t>AVE. LIBERTAD, 104, BARRIO NUEVO, MUNICIPIO DE CABRAL</t>
  </si>
  <si>
    <t>C/JOSE DE JESUS ALTUNA #03, MUNICIPIO VICENTE NOBLE</t>
  </si>
  <si>
    <t>C/ principal s/n, Barahona</t>
  </si>
  <si>
    <t>C/ principal s/n, Rincon callado, Barahona</t>
  </si>
  <si>
    <t>CALLE HEROES  DE LA RESTAURACION # 64, MUNICIPIO LOMA DE CABRERA</t>
  </si>
  <si>
    <t>C/ANTONIO DE LA MAZA, No.124, MUNICIPIO RESTAURACION</t>
  </si>
  <si>
    <t>PRESIDENTE HENRIQUEZ ESQUINA PADRE SANTA ANNA</t>
  </si>
  <si>
    <t>CENTRO DE ATENCION PRIMARIA PARTIDO</t>
  </si>
  <si>
    <t xml:space="preserve">CALLE SANCHEZ #6 MUNICIPIO DE PARTIDO </t>
  </si>
  <si>
    <t>AV, CORREA Y CIDRON, FALCULTAD DE CIENCIAS DE LA SALUD,( ANTIGUO HOSPITAL MARION) CIUDAD UNIVERSITARIA.</t>
  </si>
  <si>
    <t>LUNES-VIERNES  8:00 A.M. A 6:00 P.M.</t>
  </si>
  <si>
    <t>C/HORACIO FOMBONA,  ENTRE  RESPALDO 18 Y AV. FLEMING, ENSANCHE LA FÉ</t>
  </si>
  <si>
    <t xml:space="preserve">MINISTERIO  DE TRABAJO </t>
  </si>
  <si>
    <t>AV. JIMENEZ MOYA ESQUINA REP. DEL LIBANO, CENTRO DE LOS HEROES</t>
  </si>
  <si>
    <t>LUNES-VIERNES 8:00 A.M. A 6:00 P.M.</t>
  </si>
  <si>
    <t>LUNES-VIERNES 8:00 A.M. A 6:00 P.M. Y SABADO 8:00 A.M. A 12:00 P.M.</t>
  </si>
  <si>
    <t>INSTITUTO NACIONAL DE AGUAS  POTABLES Y ALCANTARILLADOS (INAPA)</t>
  </si>
  <si>
    <t xml:space="preserve">C/ GUAROCUYA CASI ESQ. NUÑEZ CACERES, EDF. INAPA CENTRO COMERCIAL EL MILLÓN, APT. 1503, </t>
  </si>
  <si>
    <t>AVE. SAN CRISTÓBAL ESQ. AV. TIRADENTES CON RESPALDO 18 ENSANCHE LA FÉ</t>
  </si>
  <si>
    <t>AVENIDA INDEPENDENCIA ESQUINA ENRIQUE JIMENEZ MOYA, FRENTE A CNI</t>
  </si>
  <si>
    <t>C/ MOCA ESQUINA SAN JUAN DE LA MAGUANA, SECTOR VILLAS AGRICOLAS</t>
  </si>
  <si>
    <t>PARROQUIA SANTA ANA</t>
  </si>
  <si>
    <t>C/BARNEY MORGAN #1, SECTOR GUALEY</t>
  </si>
  <si>
    <t xml:space="preserve">HOSPITAL CENTRAL  DE LAS FUERZAS ARMADAS </t>
  </si>
  <si>
    <t>AVE. ORTEGA Y GASSET  No.27,  ESQ. HERIBERTO PIETER , ENSANCHE NACO</t>
  </si>
  <si>
    <t>LUNES-VIERNES 8:00 A.M. A 6:00 P.M. Y SABADO 8:00 A.M. A 4:00 P.M.</t>
  </si>
  <si>
    <t>C/28 ESQ. 39 ENSANCHE LA FÉ.</t>
  </si>
  <si>
    <t>HOSPITAL DOCENTE  PADRE BILLINI</t>
  </si>
  <si>
    <t>CALLE SANTOME  #67 CASI ESQ. ARZOBISPO NOUEL,  CIUDAD NUEVA.</t>
  </si>
  <si>
    <t>HOSPITAL MUNICIPAL MATA HAMBRE</t>
  </si>
  <si>
    <t>C/INTERIOR A, No. 13, MATA HAMBRE</t>
  </si>
  <si>
    <t>HOSPITAL  DR. FRANCISCO MOSCOSO PUELLO</t>
  </si>
  <si>
    <t>AV. NICOLAS DE OVANDO #59 ENSANCHE LUPERON</t>
  </si>
  <si>
    <t>C/ PEDRO HENRIQUEZ UREñA ESQUINA FELIZ MARIA DEL MONTE, GAZCUE</t>
  </si>
  <si>
    <t xml:space="preserve">AV. ABRAHAM LINCOLN, ESQ. INDEPENDENCIA </t>
  </si>
  <si>
    <t>AVE. DR. MANUEL AURELIO TAVAREZ JUSTO, MUNICIPIO SAN FRANCISCO DE MACORIS</t>
  </si>
  <si>
    <t>CALLE CLUB DE LEONE, POLICLINICA</t>
  </si>
  <si>
    <t>CALLE PRINCIPAL, LA BOMBA DE CENOVI</t>
  </si>
  <si>
    <t>C/ CRISTINO IENO  #17, MUNICIPIO SAN FRANCISCO DE MACORIS</t>
  </si>
  <si>
    <t>C/ HOSTOS, S/N  MUNICIPIO CASTILLO</t>
  </si>
  <si>
    <t>KM 08 CARRETERA VILLA RIVA- ARENOSO MUNICIPIO ARENOSO</t>
  </si>
  <si>
    <t xml:space="preserve">C/ INDEPENDENCIA  #104, MUNICIPIO PIMENTEL, </t>
  </si>
  <si>
    <t>CALLE TRINITARIA  MUNICIPIO VILLA RIVA</t>
  </si>
  <si>
    <t>CARRETERA PRINCIPAL, MUNICIPIO LA ROSA DE CENOVI</t>
  </si>
  <si>
    <t>Calle Joaquín Balaguer, Barrio Verde, Provincia Duarte</t>
  </si>
  <si>
    <t xml:space="preserve">Calle Indenpendencia, Barrio Andrea Parra S/N, La Reforma, Povincia Duarte </t>
  </si>
  <si>
    <t xml:space="preserve">EL SEÍBO </t>
  </si>
  <si>
    <t xml:space="preserve">CENTRO DE PRIMER NIVEL DE ATENCION EL PINTADO, CRUCE DE PAVON </t>
  </si>
  <si>
    <t>CARR. EL SEIBO -HIGUEY,  DITRITO MUNICIPAL PEDRO SANCHEZ</t>
  </si>
  <si>
    <t>CENTRO DE PRIMER NIVEL DE ATENCION EL CEDRO DE MICHES</t>
  </si>
  <si>
    <t>CARR. MICHE-HIGUEY , DISTRITO MUNICIPAL EL CEDRO, MUNICIPIO MICHES</t>
  </si>
  <si>
    <t>CARRETERA  SANCHEZ #19, MUNICIPIO COMENDADOR</t>
  </si>
  <si>
    <t>LUNES-VIERNES 8:00 A.M. A 6:00 P.M. Y SABADOS 8:00 A.M. A 12:00 PM</t>
  </si>
  <si>
    <t>HOSPITAL MUNICIPAL BÁNICA</t>
  </si>
  <si>
    <t>C/ INDEPENDENCIA #55 LA RECTA, MUNICIPIO BANICA</t>
  </si>
  <si>
    <t>CALLE DUARTE #33</t>
  </si>
  <si>
    <t>CALLE FELIZ MORILLO #124, MUNICIPIO COMENDADOR</t>
  </si>
  <si>
    <t>LUNES-VIERNES 8:00 A.M. A 6:00 P.M. Y SABADO 8:00 A.M. A 4:00 P.M</t>
  </si>
  <si>
    <t>CARRETERA DUARTE KM.1, GASPAR HERNANDEZ</t>
  </si>
  <si>
    <t>CARRETERA DUARTE, TRAMO LA VEGA-MOCA, MOCA</t>
  </si>
  <si>
    <t>C/ANTONIO DE LA MAZA, MUNICIPIO  CAYETANO GERMOSEN</t>
  </si>
  <si>
    <t>Distrito Municipal  Veragua, Entrada de Trujillo, Provincia Espaillat</t>
  </si>
  <si>
    <t xml:space="preserve">HATO MAYOR </t>
  </si>
  <si>
    <t xml:space="preserve">C/ CAÑO HONDO NO. 1 MUNICIPIO SABANA DE LA MAR </t>
  </si>
  <si>
    <t>CARRETERA MELLA KM. 1 EN LA ENTRADA DE HATO MAYOR</t>
  </si>
  <si>
    <t>HOSPITAL MUNICIPAL VILLA TAPIA</t>
  </si>
  <si>
    <t>C/ DUARTE, VILLA TAPIA</t>
  </si>
  <si>
    <t>C/ DUARTE #106, SALCEDO</t>
  </si>
  <si>
    <t>C/ MIGUEL GUZMAN #12, MUNICIPIO TENARES</t>
  </si>
  <si>
    <t>CALLE RESTAURACION S/N, MUNICIPIO DUVERGE</t>
  </si>
  <si>
    <t xml:space="preserve">C/DUARTE #32, MUNICIPIO JIMANI, </t>
  </si>
  <si>
    <t>C/ VALOY MANCEBO, S/N</t>
  </si>
  <si>
    <t xml:space="preserve">C/ 3RA., S/N,  DISTRITO MUNICIPAL LA COLONIA, MUNICIPIO DE MELLA </t>
  </si>
  <si>
    <t>KM. 1, CARRETERA  YUMA -HIGUEY</t>
  </si>
  <si>
    <t>C/JOSE RAMON PAYAN ESQ. JUAN XXIII SECTOR EL NAZARET</t>
  </si>
  <si>
    <t>CARRETERA VERON-PUNTA CANA #67</t>
  </si>
  <si>
    <t xml:space="preserve">LA ROMANA </t>
  </si>
  <si>
    <t xml:space="preserve">C/PROLONGACIÓN GREGORIO  LUPERON NO.1 SECTOR DE VILLA  ESPAÑA </t>
  </si>
  <si>
    <t>C/ FRAY JUAN DE UTRERA NO.30</t>
  </si>
  <si>
    <t xml:space="preserve">LUNES-VIERNES 8:00 A.M. A 6:00 P.M. </t>
  </si>
  <si>
    <t>AVE. ANTONIO ABBUB ISAAC #1, MUNICIPIO CONSTANZA, PROVINCIA LA VEGA</t>
  </si>
  <si>
    <t>AUTOPISTA DURATE #101, MUNICIPIO EL PINO, PROVINCIA LA VEGA</t>
  </si>
  <si>
    <t>LUNES-VIERNES 8:00 A.M. A 4:00 P.M. Y SABADO 8:00 A.M. A 12:00 P.M.</t>
  </si>
  <si>
    <t>AVE. GARCIA GODOY, URBANIZACION LAS CAROLINAS</t>
  </si>
  <si>
    <t>C/MARIO NELSON GALAN, S/N, MUNICIPIO JARABACOA</t>
  </si>
  <si>
    <t>C/PRINCIPAL, S/N,  SECTOR LAS MERCEDES, SANTO CERRO</t>
  </si>
  <si>
    <t xml:space="preserve">AVE. MARIA TRINIDAD SANCHEZ, #1 , NAGUA </t>
  </si>
  <si>
    <t>Calle San José S/N, Provincia Maria Trinidad Sanchez</t>
  </si>
  <si>
    <t>AVENIDA DR. DOMINGO GONZALEZ # 29,  MUNICIPIO RIO SAN JUAN</t>
  </si>
  <si>
    <t xml:space="preserve">C/ DUARTE #43, MUNICIPIO  CABRERA, </t>
  </si>
  <si>
    <t xml:space="preserve">AV. DR. COLUMNA #03, BARRIO PROSPETIRAD , MUNICIPIO DE BONAO, </t>
  </si>
  <si>
    <t>PROLONGACION FANTINO #290, CARRETERA COTUI-MAIMON,  MUNICIPIO DE MAIMON</t>
  </si>
  <si>
    <t>Calle 26 de Enero S/N, Piedra Blanca de Bonao, Provincia Monseñor Nouel</t>
  </si>
  <si>
    <t>MONTE CRISTI</t>
  </si>
  <si>
    <t>CALLE RAFAEL ESTRELLA LIS # 03,  MUNICIPIO CASTAÑUELAS</t>
  </si>
  <si>
    <t>LUNES-VIERNES 8:00 A.M. A 6:00 P.M. Y SABADO 8:00 A.M. A 12:00 P.M..</t>
  </si>
  <si>
    <t>HOSPITAL MUNICIPAL   DE VILLA VASQUEZ</t>
  </si>
  <si>
    <t>AVENIDA LIBERTAD #30 SECTOR LA COLONIA,  MUNICIPIO VILLA VASQUEZ</t>
  </si>
  <si>
    <t>LUNES-VIERNES 8:00 A.M. A 4:00 P.M. Y SABADO 8:00 A.M. A 12:00 P.M..</t>
  </si>
  <si>
    <t>HOSPITAL  PADRE FANTINO</t>
  </si>
  <si>
    <t>CALLE SAN JOSE CABRERA ESQ. 27 DE FEBRERO, BARRIO LAS FLORES</t>
  </si>
  <si>
    <t>Calle Duarte, Cercadillo  S/N, Provincia Monte Cristi</t>
  </si>
  <si>
    <t>calle Desvió de Cara Linda</t>
  </si>
  <si>
    <t>C/ HERMANAS MIRABAL #1 , MUNICIPIO DE BAYAGUANA</t>
  </si>
  <si>
    <t>HOSPITAL MUNICIPAL  DE YAMASA</t>
  </si>
  <si>
    <t>C/ RAMON MATIAS MELLA #1,  MUNICIPIO YAMASA</t>
  </si>
  <si>
    <t xml:space="preserve">LUNES-VIERNES 8:00 A.M. A 6:00 P.M. SABADO 8:00 A.M. A 12:00 P.M. </t>
  </si>
  <si>
    <t>C/ DUARTE #2 MUNICIPIO DE SABANA GRANDE DE BOYÁ.</t>
  </si>
  <si>
    <t xml:space="preserve">C/ GENERAL LUPERON #1 MUNICIPIO MONTE PLATA </t>
  </si>
  <si>
    <t>CARRETERA EL PORTÓN EL GUINEO AL LADO DE LA CLÍNICA</t>
  </si>
  <si>
    <t>CALLE DUARTE # 58</t>
  </si>
  <si>
    <t>AVENIDA PRINCIPAL, CALLE DUARTE</t>
  </si>
  <si>
    <t>ESTEBAN BILLINI No. 54, MUNICIPIO NIZAO</t>
  </si>
  <si>
    <t xml:space="preserve">PERAVIA </t>
  </si>
  <si>
    <t>C/MAXIMO GOMEZ, CARRETERA SANCHEZ, KM.1, SECTOR 30 DE MAYO</t>
  </si>
  <si>
    <t xml:space="preserve">PERAVIA   </t>
  </si>
  <si>
    <t>CENTRO PRIMER NIVEL DE ATENCIÓN CAÑA FISTOL</t>
  </si>
  <si>
    <t>Calle Mella, Esq. Duverge con 3 de MayoPeravia</t>
  </si>
  <si>
    <t>CARRETERA PUERTO PLATA,  URB. CAFEMBA, MUNICIPIO SAN FELIPE</t>
  </si>
  <si>
    <t xml:space="preserve">LUNES-VIERNES 8:00 A.M. A 6:00 P.M. Y SABADO 8:00 A.M. A 12:00 P.M. </t>
  </si>
  <si>
    <t>C/PROLONGACION SANCHEZ, S/N, MUNICIPIO DE IMBERT</t>
  </si>
  <si>
    <t>C/SEGUNDO DE LOS SANTOS #6, SECTOR RINCON CALIENTE, MUNICIPIO GUANANICO</t>
  </si>
  <si>
    <t>AV. MANOLO TAVAREZ JUSTO No. 1, INTERSECCION 27 DE FEBRERO Y JOSE EUGENIO KUNHARDT, MUNICIPIO SAN FELIPE</t>
  </si>
  <si>
    <t>C/ EL SILENCIO No. 8 MUNICIPIO MONTE LLANO</t>
  </si>
  <si>
    <t xml:space="preserve">C/ CRISTOBAL COLON, #167, EL MAMEY, MUNICIPIO LOS HIDALGOS, </t>
  </si>
  <si>
    <t>CENTRO PRIMER NIVEL DE ATENCION SANITARIO  PUERTO PLATA</t>
  </si>
  <si>
    <t>C/ RODRIGUEZ ARRESON NO. 1, PUERTO PLATA</t>
  </si>
  <si>
    <t>AVENIDA MARIA TRINIDAD SANCHEZ #15 , SAMANA</t>
  </si>
  <si>
    <t>C/ RESTAURACION  #22, PUEBLO ARRIBA, SANCHEZ</t>
  </si>
  <si>
    <t>C/ PRINCIPAL EL LIMON, AUTOPISTA SAMANA- LAS TERRENAS</t>
  </si>
  <si>
    <t>ARROYO EL CABO LAS GALERAS</t>
  </si>
  <si>
    <t xml:space="preserve">SAN CRISTOBAL </t>
  </si>
  <si>
    <t>CARRETERA PRINCIPAL, PARAJE NAJAYO</t>
  </si>
  <si>
    <t>Calle Robertico Jiménez, Sector Primaveral</t>
  </si>
  <si>
    <t>HOSPITAL MUNICIPAL MARIA PANIAGUA, SAN GREGORIO DE NIGUA</t>
  </si>
  <si>
    <t>Calle Duarte, Urbanización El Laurel, Provincia San Cristóbal</t>
  </si>
  <si>
    <t>C/ENRIQUILLO No.80, MUNICIPIO YAGUATE</t>
  </si>
  <si>
    <t xml:space="preserve">SAN CRISTOBAL    </t>
  </si>
  <si>
    <t>CALLE MANUEL M. SEIJA, ESQUINA SANTOME</t>
  </si>
  <si>
    <t>C/LA TRINITARIA No.1,  SECTOR LA CENTRAL, CAMBITA EL CRUCE</t>
  </si>
  <si>
    <t>C/ AVE. CANADA, S/N, ESQ. JOSE JOAQUIN SANCHEZ</t>
  </si>
  <si>
    <t>C/ LA ESTRELETA #53, MUNICIPIO LAS MATAS DE FARFAN, PROVINCIA SAN JUAN DE LA MAGUANA</t>
  </si>
  <si>
    <t>CALLE JOSE FRANCISCO PEÑA GOMEZ#19 ESQ. SAN PEDRO, MUNICIPIO EL CERCADO</t>
  </si>
  <si>
    <t>C/ DIEGO VELAZQUEZ #63</t>
  </si>
  <si>
    <t>CALLE DUARTE, AL LADO DEL HOSPITAL</t>
  </si>
  <si>
    <t>(809) 991-1969</t>
  </si>
  <si>
    <t>CARRETERA DE ARROYO CANO</t>
  </si>
  <si>
    <t>C/ COLON, S/N, MUICIPIO BOHECHIO</t>
  </si>
  <si>
    <t>AVE. INDEPENDENCIA NO. 177</t>
  </si>
  <si>
    <t>C/ GENERAL  JUAN RODRIGUEZ NO. 9 MUNICIPIO RAMON SANTANA</t>
  </si>
  <si>
    <t>CARRETERA MELLA KM 3 1/2 #5</t>
  </si>
  <si>
    <t>LUNES-VIERNES 8:00 A.M. A 6:00 P.M. Y SABADO DE 8:00 A.M. A 4:00 P.M.</t>
  </si>
  <si>
    <t>CALLE EL PUERTO, SECTOR ANTONIO</t>
  </si>
  <si>
    <t>SÁNCHEZ RAMÍREZ</t>
  </si>
  <si>
    <t>CALLE PACO SAVIÑÓN ESQ. MAMÓN A. LIRANZO, S/N, MUNICIPIO DE FANTINO</t>
  </si>
  <si>
    <t>LUNES-VIERNES 8:00 A.M. A 6:00 P.M. Y SABADO DE 8:00 A.M. A 12:00 P.M.</t>
  </si>
  <si>
    <t>C/ MELLA, S/N, MUNICIPIO COTUI</t>
  </si>
  <si>
    <t>CALLE SAN RAFAEL, S/N, MUNICIPIO DE CEVICOS</t>
  </si>
  <si>
    <t>CALLE SAN JOSE, CERCA DEL PLAY</t>
  </si>
  <si>
    <t>AVE. OLIMPICA, LA BARRANQUITA, SANTIAGO DE LOS CABALLEROS</t>
  </si>
  <si>
    <t xml:space="preserve">CARRETERA TURISITICA GREGORIO LUPERON, KM.8,GURABO, SANTIAGO  </t>
  </si>
  <si>
    <t>AV. ESTRELLA SADHALA, S/N, ESQ. 27 DE FEBRERO (LA ROTONDA), SANTIAGO DE LOS CABALLEROS</t>
  </si>
  <si>
    <t>CALLE TOMAS HERNANDEZ FRANCO, No.1,MUNICIPIO TAMBORIL</t>
  </si>
  <si>
    <t>AV.ESTRELLA SADHALA, No.40,  ESQ.CALLE 11, ENS. LIBERTAD, SANTIAGO DE LOS CABALLEROS</t>
  </si>
  <si>
    <t>C/ 27 DE FEBRERO No.4, MUNICIPIO DE VILLA GONZALEZ</t>
  </si>
  <si>
    <t>C/MARIA TRINIDAD SANCHEZ, MUNICIPIO SAN JOSE DE LAS MATAS</t>
  </si>
  <si>
    <t>AVE. ENRIQUILLO NO. 13, SANTIAGO DE LOS CABALLEROS</t>
  </si>
  <si>
    <t>C/ AV. SERGIO HERNANDEZ, S/N, CIUDAD SATELITE, CIEN FUEGOS, SANTIAGO DE LOS CABALLEROS</t>
  </si>
  <si>
    <t>C/ LAS PRADERAS DEL YAQUE S/N, SECTOR HATO DEL YAQUE, SANTIAGO</t>
  </si>
  <si>
    <t>C/ DR. ANTONIO FUERTE DIAS #1, SECTOR ESTE</t>
  </si>
  <si>
    <t>HOSPITAL MUNICIPAL LICEY AL MEDIO</t>
  </si>
  <si>
    <t>C/PADRE FORTIN, No.1, MUNICIPIO LICEY AL MEDIO</t>
  </si>
  <si>
    <t>CARRETERA JUNCALICO JANICO, DISTRITO MUNICIPAL JANICO, SANTIAGO</t>
  </si>
  <si>
    <t>HOSPITAL MUNICIPAL INTEGRAL DE BELLA VISTA</t>
  </si>
  <si>
    <t>C/ANTONIO GUZMAN, No.50, BELLA VISTA,  SANTIAGO DE LOS CABALLEROS</t>
  </si>
  <si>
    <t>CENTRO PRIMER NIVEL DE SALUD KOREA (JUAN XXIII)</t>
  </si>
  <si>
    <t>CALLE 6 #3,  ESQ. AV. LOS JAZMINES, SECTOR COREA, SANTIAGO DE LOS CABALLEROS</t>
  </si>
  <si>
    <t>SANTIAGO RODRÍGUEZ</t>
  </si>
  <si>
    <t>CALLE OCTAVIO NOUEL ENDELSON, SECTOR BARRIO NUEVO, MUNICIPIO MONCIÓN</t>
  </si>
  <si>
    <t>HOSPITAL GENRAL SANTIAGO RODRÍGUEZ</t>
  </si>
  <si>
    <t>C/ ALEJANDRO BUENO # 91, PROVINCIA SANTIAGO RORRÍGUEZ</t>
  </si>
  <si>
    <t>AV,. ESPAÑA ESQ. MIRADOR ESTE, VILLA DUARTE</t>
  </si>
  <si>
    <t>C/PRESIDENTE ESTRELLA UREÑA  ESQUINA SAN VICENTE DE PAUL, LOS MINA</t>
  </si>
  <si>
    <t>CARRETERA SAN ISIDRO, DENTRO DE LA BASE AÉREA DOMINICANA.</t>
  </si>
  <si>
    <t xml:space="preserve">LUNES-VIERNES 8:00 A.M. A 6:00 P.M. Y SABADO 8:00 A.M. A 4:00 P.M. </t>
  </si>
  <si>
    <t>C/ 1ERO. DE MAYO #6 , MUNICIPIO SAN LUIS</t>
  </si>
  <si>
    <t>HOSPITAL MUNICIPAL LOS MINAS</t>
  </si>
  <si>
    <t>C/ MARCO DEL ROSARIO ESQUINA LA ALTAGRACIA, LOS MINA</t>
  </si>
  <si>
    <t>HOSPITAL  EL ALMIRANTE</t>
  </si>
  <si>
    <t>AVE. LA PISTA ,  EL ALMIRANTE.</t>
  </si>
  <si>
    <t xml:space="preserve">AV. LAS AMERICAS No.110, ENSANCHE LAS AMERICAS. </t>
  </si>
  <si>
    <t>Av. Charles de Gaulle, al lado del Hosp. Ney Arias Lora</t>
  </si>
  <si>
    <t>(809) 991-1532</t>
  </si>
  <si>
    <t>C/12, #35, , SABANA PERDIDA</t>
  </si>
  <si>
    <t xml:space="preserve">LUNES-VIERNES 8:00 A.M. A 5:00 P.M. </t>
  </si>
  <si>
    <t xml:space="preserve">LUNES-VIERNES 8:00 A.M. A 4:00 P.M. </t>
  </si>
  <si>
    <t>AVE. 27 DE FEBRERO ESQ. CALLE H No. 13, HERRERA.</t>
  </si>
  <si>
    <t>CALLE DUARTE ESQUINA CARR. HATO NUEVO, SECTOR LOS AMERICANOS, LOS ALCARRIZOS</t>
  </si>
  <si>
    <t>C/GAVIOTA No.2,  SECTOR LOS AMERICANOS,  LOS ALCARRIZOS</t>
  </si>
  <si>
    <t>HOSPITAL MUNICIPAL  LAS CAOBAS</t>
  </si>
  <si>
    <t>AVE. PROL. 27 FEBRERO ESQ. CALLE 28 MANZ. 29, No.3, LAS CAOBAS</t>
  </si>
  <si>
    <t xml:space="preserve">C/ANGELICA DEL ROSARIO, KM 28 AUTOPISTA DUARTE , MUNICIPIO PEDRO BRAND, </t>
  </si>
  <si>
    <t>HOSPITAL MUNICIPAL DR. DIAZ PIÑEYRO</t>
  </si>
  <si>
    <t>C/ VENEZUELA ESQ. #10, ENSANCHE ALTAGRACIA, HERRERA</t>
  </si>
  <si>
    <t>C/ FRANCISCO ALBERTO CAAMAÑO DEÑO, BARRIO  IVAN  GUZMAN KLANG</t>
  </si>
  <si>
    <t>CENTRO PRIMER NIVEL DE ATENCION LIBERTADOR DE HERRERA</t>
  </si>
  <si>
    <t>C/PRIMERA #71, BARRIO LIBERTADOR, HERRERA</t>
  </si>
  <si>
    <t>VALVERDE MAO</t>
  </si>
  <si>
    <t>AV. MARIA TRINIDAD SANCHEZ # 2, MUNICIPIO ESPERANZA</t>
  </si>
  <si>
    <t>C/DUARTE NO.2 FRENTE A LA ESCUELA DE LA CAYA</t>
  </si>
  <si>
    <t>CALLE DUARTE #144, MUNICIPIO LAGUNA SALADA</t>
  </si>
  <si>
    <t>Calle Damajagua, La Callesita S/N, Provincia Valverde</t>
  </si>
  <si>
    <t>Calle Principal  s/n</t>
  </si>
  <si>
    <t>CALLE DUARTE #1 ESQ. VEGA ALTA, PROVINCIA VALVERDE</t>
  </si>
  <si>
    <t xml:space="preserve">BAHORUCO </t>
  </si>
  <si>
    <t>HOSPITAL MUNICIPAL DOLORES DE LA CRUZ</t>
  </si>
  <si>
    <t>XI</t>
  </si>
  <si>
    <t>ZONA XI</t>
  </si>
  <si>
    <t>CALLE ALTAGRACIA #1, MUNICIPIO SABANA YEGUA KM 11</t>
  </si>
  <si>
    <t xml:space="preserve">PROLONGACION CARRETERA BATEY CENTRAL </t>
  </si>
  <si>
    <t>CARRETERA BATEY CENTRAL</t>
  </si>
  <si>
    <t>C/ GALVÁN No. 24, ESQ. FRANCIA, GAZCUE</t>
  </si>
  <si>
    <t>AVE. JOHN  F. KENNEDY, No.3, EDF. HERMANDAD DE PENSIONADOS, ENSANCHE  MIRAFLORES .</t>
  </si>
  <si>
    <t>LUNES-VIERNES 8:00 A.M. A 3:00 P.M.</t>
  </si>
  <si>
    <t>FEDERACION DE  MAESTROS CONSTRUCTORES</t>
  </si>
  <si>
    <t>C/ PARIS  ESQ. JOSEFA BREA, VILLA FRANCISCA</t>
  </si>
  <si>
    <t xml:space="preserve">AVE. ORTEGA Y GASSET No. 117, SECTOR CRISTO REY </t>
  </si>
  <si>
    <t>AVE. EUCLIDES MORILLO # 65, ARROYO HONDO</t>
  </si>
  <si>
    <t xml:space="preserve"> CENTRO COMERCIAL JUAN  COLL, KILOMETRO 71/2 CARRETERA SANCHEZ,  URBANIZACION TROPICAL</t>
  </si>
  <si>
    <t>C/ RESPALDO MEXICO #1, VILLA FRANCISCA</t>
  </si>
  <si>
    <t>AVE. 27 DE FEBRERO No. 43,  SECTOR LOS RESTAURADORES,</t>
  </si>
  <si>
    <t>C/ SAN JUAN DE LA MAGUANA #2 ,  VILLAS AGRICOLAS</t>
  </si>
  <si>
    <t>AVENIDA  LOS PROCERES, URBANIZACION GALA</t>
  </si>
  <si>
    <t>EDIFICIO B C/ 24 DE ABRIL ESQ. HERMANAS MIRABAL (CERCA DE LA ESCUELA), GUACHUPITA</t>
  </si>
  <si>
    <t>C/ JUAN ERAZO #133, VILLA JUANA</t>
  </si>
  <si>
    <t>AV. MÉXICO, EDIF. No. 48, SAN CARLOS</t>
  </si>
  <si>
    <t>LUNES-VIERNES 8:00 A.M. A 5:00 P.M.</t>
  </si>
  <si>
    <t>CORPORACION ESTATAL DE RADIO Y TELEVESION (CERTV)</t>
  </si>
  <si>
    <t>MANUEL UBALDO GÓMEZ No. 8, VILLA CONSUELO.</t>
  </si>
  <si>
    <t>C/ HERMANOS PINZON #30, SECTOR VILLA CONSUELO</t>
  </si>
  <si>
    <t>C/ 1ERA. # 56, LA AGUSTINITA</t>
  </si>
  <si>
    <t>C/ YOLANDA GUZMAN #147. BARRIO MARIA AUXILIADORA</t>
  </si>
  <si>
    <t>CALLE GUAYACANES ESQ. AV. MELLA, SAN CARLOS, D.N.</t>
  </si>
  <si>
    <t>C/PASEO DE LOS MÉDICOS ESQ. MODESTO DÍAZ, ZONA UNIVERSITARIA.</t>
  </si>
  <si>
    <t>SUBCENTRO  LA TRINIDAD</t>
  </si>
  <si>
    <t>C/ MARIO GARCÍA  ALVARADO  (ANTIGUA CALLE 12)  #33,  ENSANCHE QUISQUEYA</t>
  </si>
  <si>
    <t>AV. DUARTE #331, ENSANCHE LUPERON</t>
  </si>
  <si>
    <t>AV. QUINTO CENTENARIOESQUNA ANTONIO MALLI PEREZ, VILLA JUANA</t>
  </si>
  <si>
    <t>C/ JUAN  ENRIQUE  DUNÁN No.51, ENSANCHE MIRAFLORES</t>
  </si>
  <si>
    <t>C/BENITO MONCION No. 51, SEGUNDO NIVEL, GAZCUE</t>
  </si>
  <si>
    <t>C/ #5 ESQUINA NINO RIZEK, MUNICIPIO SAN FRANCISCO DE MACORIS</t>
  </si>
  <si>
    <t>C/ BONÓ ESQUINA BILLINI #39, MUNICIPIO SAN FRANCISCO DE MACORIS</t>
  </si>
  <si>
    <t>CALLE MANUELA DIEZ #10</t>
  </si>
  <si>
    <t xml:space="preserve">PROLONGACION CALLE IMBERT #1,  MOCA    </t>
  </si>
  <si>
    <t>C/ SANCHEZ, ESQ. ANTONIO DE LA MAZA</t>
  </si>
  <si>
    <t>C/ ANGEL MORALES, ESQ. INDEPENDENCIA, BARRIO SALSIPUEDES, MOCA</t>
  </si>
  <si>
    <t xml:space="preserve">CALLE JOSE CONTRERAS, EL MAMEY,DISTRITO MUNICIPAL  JUAN LOPEZ, </t>
  </si>
  <si>
    <t xml:space="preserve">C/ PALO HINCADO #12, BARRIO ONDINA </t>
  </si>
  <si>
    <t xml:space="preserve">CARR. DE HIGUEY MACAO, DISTRITO MUNICIPAL LA OTRA BANDA </t>
  </si>
  <si>
    <t>C/ SAN JUAN BOSCO,  DISTRITO MUNICIPAL LAS LAGUNAS DE NISIBON</t>
  </si>
  <si>
    <t>C/ PASEO DE LOS LOCUTORES ESQ. MANUELA DIEZ</t>
  </si>
  <si>
    <t>(829) 308-8860</t>
  </si>
  <si>
    <t>PARQUE INDUSTRIAL ZONA FRANCA #1</t>
  </si>
  <si>
    <t>CENTRO DE ATENCION PRIMARIA VILLA HERMOS (LOS MULOS)</t>
  </si>
  <si>
    <t>CALLE LA CLINICA, SECTOR LA LECHOZA</t>
  </si>
  <si>
    <t>CARRETERA ENTRADA LA YERBA, SECCION BARRANCA</t>
  </si>
  <si>
    <t>C/DUARTE No.9, MUNICIPIO DE JIMA</t>
  </si>
  <si>
    <t>C/GENERAL LUPERON, S/N, MUNICIPIO CONSTANZA</t>
  </si>
  <si>
    <t xml:space="preserve">CALLE MELLA  ESQUINA MANUEL UBALDO GOMEZ, </t>
  </si>
  <si>
    <t>LUNES-VIERNES 8:00 A.M. A 6:00 P.M. Y SABADO 8:00 A.M. A 12:00 P.M</t>
  </si>
  <si>
    <t>C/ WILSON VALDEZ, S/N, SECTOR VISTA BELLA, PARAJE CUTUPU</t>
  </si>
  <si>
    <t>C/5, No. 113, SECTOR LA COLONIA JAPONESA, MUNICIPIO DE ,JARABACOA</t>
  </si>
  <si>
    <t>CALLE FEDERICO BASILI, SECTOR ZONA FRANCA, PROVINCIA LA VEGA</t>
  </si>
  <si>
    <t>C/ 27 DE FEBRERO #13, BARRIO DEL PLAY</t>
  </si>
  <si>
    <t>C/MELLA, No.107, MUNICIPIO PIEDRA BLANCA</t>
  </si>
  <si>
    <t>CARRETERA DUARTE VIEJA , SECTOR LOS TRANFORMADORES</t>
  </si>
  <si>
    <t>CALLE DUARTE #2,  MUNICIPIO LAS MATA S DE SANTA CRUZ</t>
  </si>
  <si>
    <t>C/ CENTRAL No. 1, MUNICIPIO VILLA FUNDACION</t>
  </si>
  <si>
    <t>CALLE PRIMERA SECTOR VERDUN, SABANTE DE YASICA</t>
  </si>
  <si>
    <t>C/ HENRIQUEZ  ESTRADA, No. 6  LOS CHARAMICOS, SOSUA</t>
  </si>
  <si>
    <t>C/VITELIO RANCIER, No.1 ,MUNICIPIO  ALTAMIRA</t>
  </si>
  <si>
    <t>C/ MELLA  #40 BARRIO EL HOSPITAL, LAS TERRENAS</t>
  </si>
  <si>
    <t>C/2DA. No.32, QUITA SUEÑO, HAINA</t>
  </si>
  <si>
    <t>CALLE #11, S/N, BARRIO MOSCU</t>
  </si>
  <si>
    <t>ZONA FRANCA VILLA  ALTAGRACIA</t>
  </si>
  <si>
    <t>CARRETERA DUARTE VIEJA, MUNICIPIO DE VILLA ALTAGRACIA</t>
  </si>
  <si>
    <t>PARQUE INDUSTRIAL  ITABO</t>
  </si>
  <si>
    <t>CARRETERA SANCHEZ, KM.18 1/2, PARQUE ITABO, MUNICIPIO HAINA</t>
  </si>
  <si>
    <t>C/EL SOL S/N, DISTRITO MUNICIPAL PUEBLECITO, MUNICIPIO CAMBITA GARABITO</t>
  </si>
  <si>
    <t>C/2DA, S/N, PROYECTO SAN JOSE, MUNICIPIO HAINA</t>
  </si>
  <si>
    <t>C/HERMANAS MIRABAL, No.1, MUNICIPIO SABANA GRANDE DE PALENQUE.</t>
  </si>
  <si>
    <t xml:space="preserve">CALLE MAXIMO GOMEZ, S/N, ESQ. MARIA MONTES, </t>
  </si>
  <si>
    <t>C/3RA. LATERAL C ESQ. 1RA.,SECCION  MADRE VIEJA.</t>
  </si>
  <si>
    <t>CENTRO DE ATENCION PRIMARIA  CAMPAMENTO 16 DE AGOSTO</t>
  </si>
  <si>
    <t>C/LAS MERCEDES, No.102,KM 25  AUTOPISTA , MUNICIPIO PEDRO BRAND,</t>
  </si>
  <si>
    <t>CENTRO DE ATENCION  PRIMARIA BARRIO NUEVO</t>
  </si>
  <si>
    <t>C/ BATALLA DE SALOME ESQ. AMAURI GERMAN ARISTI, BARRIO NUEVO</t>
  </si>
  <si>
    <t xml:space="preserve">C/ ROBERTO KATIME #141 MUNICIPIO QUISQUEYA </t>
  </si>
  <si>
    <t>C/ MELLA NO. 3 MUNICIPIO SAN JOSÉ DE LOS LLANOS</t>
  </si>
  <si>
    <t>C/ LUIS AMIAMA TIO CARRETERA LA ROMANA -SAN PEDRO DE MACORIS</t>
  </si>
  <si>
    <t>C/ LAS FLORES NO. 12 BARRIO LINDO</t>
  </si>
  <si>
    <t>AVE. FRANCISCO ALBERTO CAAMAÑO</t>
  </si>
  <si>
    <t xml:space="preserve">CALLE EL AYUNTAMIENTO #03, MUNICIPIO LA MATA </t>
  </si>
  <si>
    <t>CARRETERA LUPERÓN KM 6 1/2, MUNICIPIO DE GURABO</t>
  </si>
  <si>
    <t>CALLE JOSE DE JESUS , PARQUE INDUSTRIAL SANTIAGO DE LOS CABALLEROS</t>
  </si>
  <si>
    <t>C/PRINCIPAL No.47,MUNICIPIO LA CANELA</t>
  </si>
  <si>
    <t>C/4, EDIF.17, APRT. 1-A ENS.BERMUDEZ, SANTIAGO DE LOS CABALLEROS</t>
  </si>
  <si>
    <t xml:space="preserve">CALLE 10, No.50, ENTRADA LA HERMITA, MUNICIPIO DE GURABO, </t>
  </si>
  <si>
    <t>C/ TAMBORIL, ESQ. SAN JOSE DE LAS MATAS, No. 38, SEGUNDA ETAPA VICTOR MANUEL ESPAILLAT,  SANTIAGO DE LOS CABALLEROS</t>
  </si>
  <si>
    <t xml:space="preserve">AVE. JUAN PABLO DUARTE, No.85, SECTOR LA TRINITARIA,  SANTIAGO DE LOS CABALLEROS </t>
  </si>
  <si>
    <t>LUNES-VIERNES 8:00 A.M. A 2:00 P.M.</t>
  </si>
  <si>
    <t>CALLE PRINCIAPL S/N MONTE ADENTRO ABAJO, SANTIAGO DE LOS CABALLEROS</t>
  </si>
  <si>
    <t>C/PRINCIPAL No.52, MUNICIPIO SABANA IGLESIA</t>
  </si>
  <si>
    <t xml:space="preserve">CALLE FRANCISCO DEL  ROSARIO SANCHEZ,  MUNICIPIO DE PUÑAL, </t>
  </si>
  <si>
    <t>C/ JOSÉ MARÍA CABRAL Y BÁEZ NO. 11, SECTOR LOS COLEGIOS, SANTIAGO DE LOS CABALLEROS</t>
  </si>
  <si>
    <t>CALLE LA AURORA, No.59, HOYA DEL CAIMITO, SANTIAGO CABALLEROS</t>
  </si>
  <si>
    <t>AV. NUÑEZ DE CACERES, S/N,  BELLA VISTA., SANTIAGO DE LOS CABALLEROS</t>
  </si>
  <si>
    <t>C/11, S/N BARRIO LOS CIRUELITOS, SANTIAGO DE LOS CABALLEROS</t>
  </si>
  <si>
    <t>CENTRO DE ATENCION PRIMARIA LA OTRA BANDA.</t>
  </si>
  <si>
    <t>C/PRINCIPAL, No.54,  LA OTRA BANDA, SANTIAGO DE LOS CABALLEROS</t>
  </si>
  <si>
    <t>C/9, No.37, BARRIO BUENOS AIRES, SANTIAGO DE LOS CABALLEROS</t>
  </si>
  <si>
    <t>C/26 No. 73, BARRIO PEKIN,  SANTIAGO DE LOS CABALLEROS</t>
  </si>
  <si>
    <t>C/DUARTE No.51,  BARRIO SAN BARTOLO, LOS FRAILES</t>
  </si>
  <si>
    <t xml:space="preserve">AUTOPISTA SAN ISIDRO KM.171/2, 2DA. Puerta de Oeste a Este </t>
  </si>
  <si>
    <t>C/30 DE MAYO No.1, ESQ. 2DA., BARRIO NUEVO, MARGINAL DE LAS AMERICAS</t>
  </si>
  <si>
    <t>C/JUAN MOLINÉ No. 1 ESQ. C/CUARTA, SECTOR LOS MAMEYES</t>
  </si>
  <si>
    <t>CENTRO DE SALUD  SANTA MARÍA REINA</t>
  </si>
  <si>
    <t>C/LUIS ÁLVAREZ No. 11,   LOS TRINITARIOS</t>
  </si>
  <si>
    <t>CARRETERA MELLA KM 9 1/2,  HAINAMOSA</t>
  </si>
  <si>
    <t>C/ SEGUNDA ESQUINA CALLE PRIMERA, LOS FRAILES 1</t>
  </si>
  <si>
    <t>C/ ULISES HEUREAUX #16, VILLA DUARTE</t>
  </si>
  <si>
    <t>C/MANOLO TAVAREZ JUSTO, No.1, CAMPO LINDO, LA CALETA, BOCA CHICA</t>
  </si>
  <si>
    <t>C/ HERMANAS MIRABAL #2, VIETNAM, LOS MINA</t>
  </si>
  <si>
    <t>CARRETERA MELLA,  EL BONITO DE SAN ISIDRO.</t>
  </si>
  <si>
    <t>C/PRIVADA No. 30, MENDOZA</t>
  </si>
  <si>
    <t>C/22, #34, SECTOR  EL PROGRESO, SABANA PERDIDA</t>
  </si>
  <si>
    <t>CALLE AGUSTIN  C. LOPEZ, No.1,  SECTOR 2 DE ENERO,  LOS CERROS, SABANA PERDIDA</t>
  </si>
  <si>
    <t>C/PRINCIPAL No.144, GUARICANOS, VILLA MELLA</t>
  </si>
  <si>
    <t>GREGORIO URBANO GILBERT #34, GUARICANOS</t>
  </si>
  <si>
    <t>CALLE 2DA. #4, BARRIO LA ALTAGRACIA, HACIENDA ESTRELLA</t>
  </si>
  <si>
    <t>C/ ALTAGRACIA No.1, MUNICIPIO LA VICTORIA</t>
  </si>
  <si>
    <t>AVE. ISABEL AGUIAR,  S/N,  HERRERA</t>
  </si>
  <si>
    <t>C/ FRANCISCO PRATTS RAMIREZ, No.558,   MANGANAGUA</t>
  </si>
  <si>
    <t xml:space="preserve">CARRETERA SANCHEZ, KM.13, MUELLE DE HAINA </t>
  </si>
  <si>
    <t>C/ RESPALDO 4 ESQ. 20,  No.30, REPARTO ROSA II, LAS PALMAS DE HERRERA</t>
  </si>
  <si>
    <t>C/33 #7, SECTOR LOS PERALEJOS</t>
  </si>
  <si>
    <t>C/ CAYETANO GUZMAN NO.2 SECTOR PEDREGAL D.N.</t>
  </si>
  <si>
    <t>CALLE SANTA TERESITA ESQ. CARRETERA SANCHEZ, BARRIO KM 13</t>
  </si>
  <si>
    <t>LUNES-VIERNES 8:00 A.M. A 12:00 P.M. Y 2:00 P.M. A 5:00 P.M.</t>
  </si>
  <si>
    <t>C/CENTRAL No.12, MANOGUAYABO</t>
  </si>
  <si>
    <t>CALLE GREGORIO LUPERON #1, PUEBLO NUEVO, LOS ALCARRIZOS</t>
  </si>
  <si>
    <t>C/ ANASTACIO TRONIN, S/N,   BAYONA</t>
  </si>
  <si>
    <t>C/ TETELO VARGAS #17, BARRIO DUARTE</t>
  </si>
  <si>
    <t>C/ ANTIGUA BOGAERT # 8 SECTOR HATICO</t>
  </si>
  <si>
    <t>C/ TOÑO BREA ESQUINA LUIS SEGURA, SECTOR LOS 300</t>
  </si>
  <si>
    <t>CALLE CONCEPCION BONA #1 ROTONDA, MUNICIPIO DE ESPERANZA</t>
  </si>
  <si>
    <t>AV. 27 DE FEBRERO ESQ.  AVENIDA LUPERON  SECTOR RENACIMIENTO.</t>
  </si>
  <si>
    <t>CENTRO DE SALUD FAMILIAR SAN BARTOLO (LOS FRAILES II)</t>
  </si>
  <si>
    <t>Mantenimiento Farmacias del Pueblo</t>
  </si>
  <si>
    <t>3meses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</si>
</sst>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quot;RD$&quot;#,##0.00"/>
    <numFmt numFmtId="166" formatCode="[&lt;=9999999]###\-####;\(###\)\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0"/>
      <color theme="1"/>
      <name val="Calibri"/>
      <family val="2"/>
      <scheme val="minor"/>
    </font>
    <font>
      <b/>
      <sz val="11"/>
      <color theme="1"/>
      <name val="Calibri"/>
      <family val="2"/>
    </font>
    <font>
      <b/>
      <sz val="14"/>
      <color theme="1"/>
      <name val="Calibri"/>
      <family val="2"/>
      <scheme val="minor"/>
    </font>
    <font>
      <sz val="10"/>
      <color theme="1"/>
      <name val="Calibri"/>
      <family val="2"/>
      <scheme val="minor"/>
    </font>
    <font>
      <sz val="11"/>
      <color theme="1"/>
      <name val="Calibri"/>
      <family val="2"/>
    </font>
    <font>
      <b/>
      <sz val="10"/>
      <name val="Calibri"/>
      <family val="2"/>
      <scheme val="minor"/>
    </font>
    <font>
      <b/>
      <sz val="16"/>
      <name val="Arial"/>
      <family val="2"/>
    </font>
    <font>
      <b/>
      <sz val="14"/>
      <name val="Arial"/>
      <family val="2"/>
    </font>
    <font>
      <b/>
      <u/>
      <sz val="10"/>
      <color indexed="8"/>
      <name val="Arial"/>
      <family val="2"/>
    </font>
    <font>
      <sz val="9"/>
      <color indexed="8"/>
      <name val="Arial"/>
      <family val="2"/>
    </font>
    <font>
      <sz val="9"/>
      <color theme="1"/>
      <name val="Arial"/>
      <family val="2"/>
    </font>
    <font>
      <sz val="9"/>
      <color theme="1"/>
      <name val="Calibri"/>
      <family val="2"/>
      <scheme val="minor"/>
    </font>
    <font>
      <sz val="9"/>
      <color indexed="8"/>
      <name val="Calibri"/>
      <family val="2"/>
      <scheme val="minor"/>
    </font>
    <font>
      <b/>
      <sz val="10"/>
      <color theme="1"/>
      <name val="Calibri"/>
      <family val="2"/>
    </font>
    <font>
      <b/>
      <sz val="9"/>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3" fillId="0" borderId="0"/>
    <xf numFmtId="0" fontId="4" fillId="0" borderId="0"/>
    <xf numFmtId="0" fontId="1" fillId="0" borderId="0"/>
    <xf numFmtId="164" fontId="1"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cellStyleXfs>
  <cellXfs count="108">
    <xf numFmtId="0" fontId="0" fillId="0" borderId="0" xfId="0"/>
    <xf numFmtId="0" fontId="0" fillId="0" borderId="1" xfId="0" applyBorder="1" applyAlignment="1">
      <alignment horizontal="center"/>
    </xf>
    <xf numFmtId="0" fontId="2" fillId="2" borderId="1" xfId="0" applyFont="1" applyFill="1" applyBorder="1" applyAlignment="1">
      <alignment horizontal="center" vertical="center"/>
    </xf>
    <xf numFmtId="0" fontId="5" fillId="0" borderId="1" xfId="0" applyFont="1" applyBorder="1"/>
    <xf numFmtId="2" fontId="0" fillId="0" borderId="1" xfId="0" applyNumberFormat="1" applyBorder="1" applyAlignment="1">
      <alignment horizontal="center"/>
    </xf>
    <xf numFmtId="165" fontId="0" fillId="0" borderId="1" xfId="0" applyNumberFormat="1" applyBorder="1" applyAlignment="1">
      <alignment horizontal="center"/>
    </xf>
    <xf numFmtId="165" fontId="2" fillId="0" borderId="0" xfId="0" applyNumberFormat="1" applyFont="1" applyAlignment="1">
      <alignment horizontal="center"/>
    </xf>
    <xf numFmtId="0" fontId="0" fillId="0" borderId="0" xfId="0" applyAlignment="1">
      <alignment horizontal="center"/>
    </xf>
    <xf numFmtId="0" fontId="5" fillId="0" borderId="0" xfId="0" applyFont="1" applyBorder="1" applyAlignment="1">
      <alignment horizontal="center"/>
    </xf>
    <xf numFmtId="0" fontId="2" fillId="0" borderId="0" xfId="0" applyFont="1" applyAlignment="1">
      <alignment horizontal="center"/>
    </xf>
    <xf numFmtId="0" fontId="8" fillId="0" borderId="1" xfId="0" applyFont="1" applyBorder="1" applyAlignment="1">
      <alignment horizontal="center"/>
    </xf>
    <xf numFmtId="0" fontId="2" fillId="0" borderId="0" xfId="0" applyFont="1"/>
    <xf numFmtId="0" fontId="8" fillId="0" borderId="0" xfId="0" applyFont="1" applyBorder="1" applyAlignment="1">
      <alignment horizontal="center"/>
    </xf>
    <xf numFmtId="0" fontId="0" fillId="0" borderId="0" xfId="0" applyBorder="1"/>
    <xf numFmtId="165" fontId="2" fillId="0" borderId="0" xfId="0" applyNumberFormat="1" applyFont="1"/>
    <xf numFmtId="2" fontId="0" fillId="0" borderId="1" xfId="0" applyNumberFormat="1" applyFill="1" applyBorder="1" applyAlignment="1">
      <alignment horizontal="center"/>
    </xf>
    <xf numFmtId="0" fontId="0" fillId="0" borderId="1" xfId="0" applyFill="1" applyBorder="1" applyAlignment="1">
      <alignment horizontal="center"/>
    </xf>
    <xf numFmtId="0" fontId="5" fillId="0" borderId="0" xfId="0" applyFont="1" applyBorder="1"/>
    <xf numFmtId="0" fontId="5" fillId="0" borderId="1" xfId="0" applyFont="1" applyBorder="1" applyAlignment="1">
      <alignment wrapText="1"/>
    </xf>
    <xf numFmtId="0" fontId="7" fillId="0" borderId="0" xfId="0" applyFont="1" applyBorder="1" applyAlignment="1"/>
    <xf numFmtId="0" fontId="0" fillId="0" borderId="1" xfId="0" applyFill="1" applyBorder="1"/>
    <xf numFmtId="0" fontId="2" fillId="0" borderId="10" xfId="0" applyFont="1" applyBorder="1" applyAlignment="1">
      <alignment horizontal="center" vertical="center"/>
    </xf>
    <xf numFmtId="0" fontId="2" fillId="0" borderId="11" xfId="0" applyFont="1" applyBorder="1" applyAlignment="1">
      <alignment horizontal="center" wrapText="1"/>
    </xf>
    <xf numFmtId="0" fontId="2" fillId="0" borderId="11" xfId="0" applyFont="1" applyBorder="1" applyAlignment="1">
      <alignment horizontal="center" vertical="center"/>
    </xf>
    <xf numFmtId="0" fontId="0" fillId="0" borderId="9" xfId="0" applyFill="1" applyBorder="1"/>
    <xf numFmtId="0" fontId="2" fillId="0" borderId="6" xfId="0" applyFont="1" applyBorder="1" applyAlignment="1">
      <alignment horizontal="center"/>
    </xf>
    <xf numFmtId="0" fontId="2" fillId="0" borderId="11" xfId="0" applyFont="1" applyBorder="1" applyAlignment="1">
      <alignment horizontal="center" vertical="center" wrapText="1"/>
    </xf>
    <xf numFmtId="0" fontId="5" fillId="0" borderId="0" xfId="0" applyFont="1" applyBorder="1" applyAlignment="1"/>
    <xf numFmtId="0" fontId="5" fillId="0" borderId="1" xfId="0" applyFont="1" applyBorder="1" applyAlignment="1">
      <alignment horizontal="left" wrapText="1"/>
    </xf>
    <xf numFmtId="0" fontId="10" fillId="0" borderId="1" xfId="0" applyFont="1" applyBorder="1"/>
    <xf numFmtId="0" fontId="5" fillId="0" borderId="1" xfId="0" applyFont="1" applyFill="1" applyBorder="1"/>
    <xf numFmtId="0" fontId="3" fillId="0" borderId="0" xfId="7" applyFill="1" applyAlignment="1">
      <alignment horizontal="center" vertical="center" wrapText="1"/>
    </xf>
    <xf numFmtId="0" fontId="11" fillId="0" borderId="0" xfId="7" applyFont="1" applyFill="1" applyAlignment="1">
      <alignment horizontal="center" vertical="center" wrapText="1"/>
    </xf>
    <xf numFmtId="0" fontId="3" fillId="0" borderId="0" xfId="7" applyAlignment="1">
      <alignment horizontal="center" vertical="center" wrapText="1"/>
    </xf>
    <xf numFmtId="0" fontId="12" fillId="0" borderId="0" xfId="7" applyFont="1" applyFill="1" applyAlignment="1">
      <alignment horizontal="center" vertical="center" wrapText="1"/>
    </xf>
    <xf numFmtId="0" fontId="13" fillId="3" borderId="1" xfId="7" applyNumberFormat="1" applyFont="1" applyFill="1" applyBorder="1" applyAlignment="1">
      <alignment horizontal="center" vertical="center" wrapText="1"/>
    </xf>
    <xf numFmtId="0" fontId="14" fillId="0" borderId="1" xfId="7" applyNumberFormat="1" applyFont="1" applyFill="1" applyBorder="1" applyAlignment="1">
      <alignment horizontal="center" vertical="center" wrapText="1"/>
    </xf>
    <xf numFmtId="0" fontId="15" fillId="0" borderId="1" xfId="8" applyNumberFormat="1" applyFont="1" applyFill="1" applyBorder="1" applyAlignment="1">
      <alignment horizontal="center" vertical="center" wrapText="1"/>
    </xf>
    <xf numFmtId="0" fontId="15" fillId="0" borderId="1" xfId="7" applyNumberFormat="1" applyFont="1" applyFill="1" applyBorder="1" applyAlignment="1">
      <alignment horizontal="center" vertical="center" wrapText="1"/>
    </xf>
    <xf numFmtId="166" fontId="16" fillId="0" borderId="1" xfId="7" applyNumberFormat="1" applyFont="1" applyFill="1" applyBorder="1" applyAlignment="1">
      <alignment horizontal="center" vertical="center" wrapText="1"/>
    </xf>
    <xf numFmtId="166" fontId="15" fillId="0" borderId="1" xfId="7" applyNumberFormat="1" applyFont="1" applyFill="1" applyBorder="1" applyAlignment="1">
      <alignment horizontal="center" vertical="center" wrapText="1"/>
    </xf>
    <xf numFmtId="166" fontId="17" fillId="0" borderId="1" xfId="7" applyNumberFormat="1" applyFont="1" applyFill="1" applyBorder="1" applyAlignment="1">
      <alignment horizontal="center" vertical="center" wrapText="1"/>
    </xf>
    <xf numFmtId="0" fontId="3" fillId="0" borderId="1" xfId="7"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Fill="1" applyBorder="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8" fillId="0" borderId="0" xfId="0" applyFont="1"/>
    <xf numFmtId="0" fontId="8" fillId="0" borderId="0" xfId="0" applyFont="1" applyFill="1" applyAlignment="1">
      <alignment horizontal="center"/>
    </xf>
    <xf numFmtId="164" fontId="18" fillId="0" borderId="0" xfId="0" applyNumberFormat="1" applyFont="1" applyAlignment="1">
      <alignment horizontal="center"/>
    </xf>
    <xf numFmtId="0" fontId="8" fillId="0" borderId="0" xfId="0" applyFont="1" applyAlignment="1">
      <alignment horizontal="center"/>
    </xf>
    <xf numFmtId="0" fontId="8" fillId="0" borderId="0" xfId="0" applyFont="1" applyFill="1"/>
    <xf numFmtId="0" fontId="5" fillId="0" borderId="0" xfId="0" applyFont="1" applyFill="1" applyAlignment="1">
      <alignment horizontal="center"/>
    </xf>
    <xf numFmtId="164" fontId="18" fillId="0" borderId="0" xfId="0" applyNumberFormat="1" applyFont="1" applyFill="1" applyAlignment="1">
      <alignment horizontal="center"/>
    </xf>
    <xf numFmtId="0" fontId="18" fillId="0" borderId="0" xfId="0" applyFont="1" applyFill="1" applyAlignment="1">
      <alignment horizontal="center"/>
    </xf>
    <xf numFmtId="0" fontId="5" fillId="0" borderId="0" xfId="0" applyFont="1" applyFill="1" applyAlignment="1">
      <alignment horizontal="right"/>
    </xf>
    <xf numFmtId="165" fontId="5" fillId="0" borderId="0" xfId="0" applyNumberFormat="1" applyFont="1" applyFill="1" applyAlignment="1">
      <alignment horizontal="center"/>
    </xf>
    <xf numFmtId="164" fontId="5" fillId="0" borderId="0" xfId="4" applyFont="1"/>
    <xf numFmtId="0" fontId="5" fillId="0" borderId="0" xfId="0" applyFont="1"/>
    <xf numFmtId="0" fontId="8"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xf numFmtId="0" fontId="8" fillId="0" borderId="0" xfId="0" applyFont="1" applyBorder="1"/>
    <xf numFmtId="0" fontId="5" fillId="0" borderId="0" xfId="0" applyFont="1" applyBorder="1" applyAlignment="1">
      <alignment horizontal="left"/>
    </xf>
    <xf numFmtId="0" fontId="5" fillId="0" borderId="0" xfId="0" applyFont="1" applyAlignment="1">
      <alignment horizontal="left"/>
    </xf>
    <xf numFmtId="0" fontId="8" fillId="0" borderId="0" xfId="0" applyFont="1" applyBorder="1" applyAlignment="1">
      <alignment horizontal="left"/>
    </xf>
    <xf numFmtId="0" fontId="8" fillId="0" borderId="0" xfId="0" applyFont="1" applyAlignment="1">
      <alignment horizontal="left"/>
    </xf>
    <xf numFmtId="2" fontId="8" fillId="0" borderId="0" xfId="0" applyNumberFormat="1" applyFont="1" applyBorder="1" applyAlignment="1">
      <alignment horizontal="center"/>
    </xf>
    <xf numFmtId="165" fontId="8" fillId="0" borderId="0"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vertical="center"/>
    </xf>
    <xf numFmtId="0" fontId="19" fillId="0" borderId="0" xfId="0" applyFont="1" applyBorder="1"/>
    <xf numFmtId="0" fontId="19" fillId="0" borderId="0" xfId="0" applyFont="1" applyAlignment="1">
      <alignment horizontal="left"/>
    </xf>
    <xf numFmtId="0" fontId="19" fillId="0" borderId="0" xfId="0" applyFont="1" applyBorder="1" applyAlignment="1">
      <alignment wrapText="1"/>
    </xf>
    <xf numFmtId="0" fontId="16" fillId="0" borderId="0" xfId="0" applyFont="1" applyAlignment="1">
      <alignment horizontal="center"/>
    </xf>
    <xf numFmtId="0" fontId="16" fillId="0" borderId="0" xfId="0" applyFont="1" applyBorder="1" applyAlignment="1">
      <alignment horizontal="center"/>
    </xf>
    <xf numFmtId="0" fontId="19" fillId="0" borderId="0" xfId="0" applyFont="1" applyBorder="1" applyAlignment="1">
      <alignment horizontal="left"/>
    </xf>
    <xf numFmtId="0" fontId="10" fillId="0" borderId="1" xfId="0" applyFont="1" applyBorder="1" applyAlignment="1">
      <alignment wrapText="1"/>
    </xf>
    <xf numFmtId="0" fontId="2" fillId="0" borderId="0" xfId="0" applyFont="1" applyAlignment="1">
      <alignment horizontal="center"/>
    </xf>
    <xf numFmtId="0" fontId="2" fillId="0" borderId="12" xfId="0" applyFont="1" applyBorder="1" applyAlignment="1">
      <alignment horizontal="center" vertical="center"/>
    </xf>
    <xf numFmtId="0" fontId="9" fillId="0" borderId="7"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2" fillId="0" borderId="6" xfId="0" applyFont="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165" fontId="0" fillId="0" borderId="1" xfId="0" applyNumberFormat="1" applyBorder="1" applyAlignment="1">
      <alignment horizontal="center" vertical="center"/>
    </xf>
    <xf numFmtId="0" fontId="9" fillId="0" borderId="7" xfId="0" applyFont="1" applyBorder="1" applyAlignment="1">
      <alignment horizontal="center" vertical="center"/>
    </xf>
    <xf numFmtId="0" fontId="0" fillId="0" borderId="1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8" xfId="0"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xf>
    <xf numFmtId="0" fontId="2" fillId="0" borderId="8" xfId="0" applyFont="1" applyBorder="1" applyAlignment="1">
      <alignment horizontal="center" vertical="center"/>
    </xf>
    <xf numFmtId="0" fontId="0" fillId="0" borderId="19" xfId="0" applyFill="1" applyBorder="1" applyAlignment="1">
      <alignment horizontal="center" vertical="center"/>
    </xf>
    <xf numFmtId="165" fontId="0" fillId="0" borderId="9" xfId="0" applyNumberFormat="1" applyBorder="1" applyAlignment="1">
      <alignment horizontal="center" vertical="center"/>
    </xf>
    <xf numFmtId="0" fontId="9" fillId="0" borderId="20" xfId="0" applyFont="1" applyBorder="1" applyAlignment="1">
      <alignment horizontal="center" vertical="center"/>
    </xf>
    <xf numFmtId="165" fontId="0" fillId="0" borderId="1" xfId="0" applyNumberFormat="1" applyFill="1" applyBorder="1" applyAlignment="1">
      <alignment horizontal="center" vertical="center"/>
    </xf>
    <xf numFmtId="0" fontId="5" fillId="0" borderId="0" xfId="0" applyFont="1" applyFill="1" applyBorder="1" applyAlignment="1">
      <alignment horizontal="center"/>
    </xf>
    <xf numFmtId="0" fontId="11" fillId="0" borderId="0" xfId="7" applyFont="1" applyAlignment="1">
      <alignment horizontal="center" vertical="center" wrapText="1"/>
    </xf>
  </cellXfs>
  <cellStyles count="9">
    <cellStyle name="Comma 2" xfId="5"/>
    <cellStyle name="Millares" xfId="4" builtinId="3"/>
    <cellStyle name="Normal" xfId="0" builtinId="0"/>
    <cellStyle name="Normal 2" xfId="2"/>
    <cellStyle name="Normal 2 2" xfId="7"/>
    <cellStyle name="Normal 3" xfId="3"/>
    <cellStyle name="Normal 4" xfId="1"/>
    <cellStyle name="Normal_CASO 5-mod 3" xfId="8"/>
    <cellStyle name="Percent 2"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2</xdr:col>
      <xdr:colOff>631032</xdr:colOff>
      <xdr:row>0</xdr:row>
      <xdr:rowOff>83344</xdr:rowOff>
    </xdr:from>
    <xdr:to>
      <xdr:col>3</xdr:col>
      <xdr:colOff>1193006</xdr:colOff>
      <xdr:row>3</xdr:row>
      <xdr:rowOff>35719</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4813" y="83344"/>
          <a:ext cx="1585912"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186846</xdr:colOff>
      <xdr:row>0</xdr:row>
      <xdr:rowOff>95249</xdr:rowOff>
    </xdr:from>
    <xdr:to>
      <xdr:col>1</xdr:col>
      <xdr:colOff>1571626</xdr:colOff>
      <xdr:row>3</xdr:row>
      <xdr:rowOff>23812</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846" y="95249"/>
          <a:ext cx="1861030"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404811</xdr:colOff>
      <xdr:row>0</xdr:row>
      <xdr:rowOff>118140</xdr:rowOff>
    </xdr:from>
    <xdr:to>
      <xdr:col>3</xdr:col>
      <xdr:colOff>750093</xdr:colOff>
      <xdr:row>3</xdr:row>
      <xdr:rowOff>59531</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7280" y="118140"/>
          <a:ext cx="1464469" cy="512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250033</xdr:colOff>
      <xdr:row>0</xdr:row>
      <xdr:rowOff>167040</xdr:rowOff>
    </xdr:from>
    <xdr:to>
      <xdr:col>1</xdr:col>
      <xdr:colOff>1809750</xdr:colOff>
      <xdr:row>3</xdr:row>
      <xdr:rowOff>83343</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033" y="167040"/>
          <a:ext cx="2035967" cy="487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547687</xdr:colOff>
      <xdr:row>0</xdr:row>
      <xdr:rowOff>82423</xdr:rowOff>
    </xdr:from>
    <xdr:to>
      <xdr:col>3</xdr:col>
      <xdr:colOff>976990</xdr:colOff>
      <xdr:row>3</xdr:row>
      <xdr:rowOff>59531</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7281" y="82423"/>
          <a:ext cx="1548490" cy="54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250033</xdr:colOff>
      <xdr:row>0</xdr:row>
      <xdr:rowOff>166688</xdr:rowOff>
    </xdr:from>
    <xdr:to>
      <xdr:col>1</xdr:col>
      <xdr:colOff>1613441</xdr:colOff>
      <xdr:row>3</xdr:row>
      <xdr:rowOff>11907</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033" y="166688"/>
          <a:ext cx="1839658" cy="416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59532</xdr:colOff>
      <xdr:row>0</xdr:row>
      <xdr:rowOff>113961</xdr:rowOff>
    </xdr:from>
    <xdr:to>
      <xdr:col>1</xdr:col>
      <xdr:colOff>1588144</xdr:colOff>
      <xdr:row>3</xdr:row>
      <xdr:rowOff>81643</xdr:rowOff>
    </xdr:to>
    <xdr:pic>
      <xdr:nvPicPr>
        <xdr:cNvPr id="2"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2" y="113961"/>
          <a:ext cx="2290612" cy="53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1736158</xdr:colOff>
      <xdr:row>0</xdr:row>
      <xdr:rowOff>5669</xdr:rowOff>
    </xdr:from>
    <xdr:to>
      <xdr:col>5</xdr:col>
      <xdr:colOff>0</xdr:colOff>
      <xdr:row>2</xdr:row>
      <xdr:rowOff>149541</xdr:rowOff>
    </xdr:to>
    <xdr:pic>
      <xdr:nvPicPr>
        <xdr:cNvPr id="3" name="Picture 2" descr="farmacia del puebl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37301" y="5669"/>
          <a:ext cx="1788092" cy="524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269875</xdr:colOff>
      <xdr:row>0</xdr:row>
      <xdr:rowOff>142875</xdr:rowOff>
    </xdr:from>
    <xdr:to>
      <xdr:col>2</xdr:col>
      <xdr:colOff>0</xdr:colOff>
      <xdr:row>4</xdr:row>
      <xdr:rowOff>180975</xdr:rowOff>
    </xdr:to>
    <xdr:pic>
      <xdr:nvPicPr>
        <xdr:cNvPr id="2"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142875"/>
          <a:ext cx="2287211"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0</xdr:row>
      <xdr:rowOff>79375</xdr:rowOff>
    </xdr:from>
    <xdr:to>
      <xdr:col>3</xdr:col>
      <xdr:colOff>762000</xdr:colOff>
      <xdr:row>4</xdr:row>
      <xdr:rowOff>142875</xdr:rowOff>
    </xdr:to>
    <xdr:pic>
      <xdr:nvPicPr>
        <xdr:cNvPr id="3" name="Picture 2" descr="farmacia del puebl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92625" y="79375"/>
          <a:ext cx="187325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542925</xdr:colOff>
      <xdr:row>0</xdr:row>
      <xdr:rowOff>114300</xdr:rowOff>
    </xdr:from>
    <xdr:to>
      <xdr:col>5</xdr:col>
      <xdr:colOff>2066925</xdr:colOff>
      <xdr:row>3</xdr:row>
      <xdr:rowOff>152400</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44425" y="114300"/>
          <a:ext cx="25050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123825</xdr:rowOff>
    </xdr:from>
    <xdr:to>
      <xdr:col>2</xdr:col>
      <xdr:colOff>1568903</xdr:colOff>
      <xdr:row>4</xdr:row>
      <xdr:rowOff>66675</xdr:rowOff>
    </xdr:to>
    <xdr:pic>
      <xdr:nvPicPr>
        <xdr:cNvPr id="3" name="23 Imagen" descr="LOGO PROMES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123825"/>
          <a:ext cx="27813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857250</xdr:colOff>
      <xdr:row>0</xdr:row>
      <xdr:rowOff>35718</xdr:rowOff>
    </xdr:from>
    <xdr:to>
      <xdr:col>3</xdr:col>
      <xdr:colOff>1131094</xdr:colOff>
      <xdr:row>3</xdr:row>
      <xdr:rowOff>72201</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1031" y="35718"/>
          <a:ext cx="1393032" cy="60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273843</xdr:colOff>
      <xdr:row>0</xdr:row>
      <xdr:rowOff>83343</xdr:rowOff>
    </xdr:from>
    <xdr:to>
      <xdr:col>1</xdr:col>
      <xdr:colOff>1416844</xdr:colOff>
      <xdr:row>2</xdr:row>
      <xdr:rowOff>121443</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3843" y="83343"/>
          <a:ext cx="161925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547687</xdr:colOff>
      <xdr:row>0</xdr:row>
      <xdr:rowOff>83343</xdr:rowOff>
    </xdr:from>
    <xdr:to>
      <xdr:col>3</xdr:col>
      <xdr:colOff>950102</xdr:colOff>
      <xdr:row>3</xdr:row>
      <xdr:rowOff>130969</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0" y="83343"/>
          <a:ext cx="1414446"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250031</xdr:colOff>
      <xdr:row>0</xdr:row>
      <xdr:rowOff>71438</xdr:rowOff>
    </xdr:from>
    <xdr:to>
      <xdr:col>1</xdr:col>
      <xdr:colOff>1607344</xdr:colOff>
      <xdr:row>3</xdr:row>
      <xdr:rowOff>35719</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031" y="71438"/>
          <a:ext cx="1833563"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785813</xdr:colOff>
      <xdr:row>0</xdr:row>
      <xdr:rowOff>166688</xdr:rowOff>
    </xdr:from>
    <xdr:to>
      <xdr:col>4</xdr:col>
      <xdr:colOff>1143000</xdr:colOff>
      <xdr:row>3</xdr:row>
      <xdr:rowOff>83344</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9188" y="166688"/>
          <a:ext cx="1476375" cy="48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214313</xdr:colOff>
      <xdr:row>0</xdr:row>
      <xdr:rowOff>190499</xdr:rowOff>
    </xdr:from>
    <xdr:to>
      <xdr:col>1</xdr:col>
      <xdr:colOff>1604773</xdr:colOff>
      <xdr:row>3</xdr:row>
      <xdr:rowOff>178594</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3" y="190499"/>
          <a:ext cx="1890523" cy="559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666751</xdr:colOff>
      <xdr:row>0</xdr:row>
      <xdr:rowOff>190499</xdr:rowOff>
    </xdr:from>
    <xdr:to>
      <xdr:col>3</xdr:col>
      <xdr:colOff>845345</xdr:colOff>
      <xdr:row>3</xdr:row>
      <xdr:rowOff>83344</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5407" y="190499"/>
          <a:ext cx="1297782" cy="46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369095</xdr:colOff>
      <xdr:row>1</xdr:row>
      <xdr:rowOff>31199</xdr:rowOff>
    </xdr:from>
    <xdr:to>
      <xdr:col>1</xdr:col>
      <xdr:colOff>1690689</xdr:colOff>
      <xdr:row>3</xdr:row>
      <xdr:rowOff>71437</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9095" y="221699"/>
          <a:ext cx="1797844" cy="4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809625</xdr:colOff>
      <xdr:row>1</xdr:row>
      <xdr:rowOff>59531</xdr:rowOff>
    </xdr:from>
    <xdr:to>
      <xdr:col>3</xdr:col>
      <xdr:colOff>988218</xdr:colOff>
      <xdr:row>4</xdr:row>
      <xdr:rowOff>11906</xdr:rowOff>
    </xdr:to>
    <xdr:pic>
      <xdr:nvPicPr>
        <xdr:cNvPr id="4" name="Picture 3"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3063" y="250031"/>
          <a:ext cx="129778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83345</xdr:colOff>
      <xdr:row>1</xdr:row>
      <xdr:rowOff>89805</xdr:rowOff>
    </xdr:from>
    <xdr:to>
      <xdr:col>1</xdr:col>
      <xdr:colOff>2012156</xdr:colOff>
      <xdr:row>4</xdr:row>
      <xdr:rowOff>0</xdr:rowOff>
    </xdr:to>
    <xdr:pic>
      <xdr:nvPicPr>
        <xdr:cNvPr id="5"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9595" y="280305"/>
          <a:ext cx="1928811" cy="481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964407</xdr:colOff>
      <xdr:row>1</xdr:row>
      <xdr:rowOff>59531</xdr:rowOff>
    </xdr:from>
    <xdr:to>
      <xdr:col>3</xdr:col>
      <xdr:colOff>1154908</xdr:colOff>
      <xdr:row>4</xdr:row>
      <xdr:rowOff>71438</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6" y="250031"/>
          <a:ext cx="1381126"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154782</xdr:colOff>
      <xdr:row>1</xdr:row>
      <xdr:rowOff>71438</xdr:rowOff>
    </xdr:from>
    <xdr:to>
      <xdr:col>1</xdr:col>
      <xdr:colOff>1935027</xdr:colOff>
      <xdr:row>3</xdr:row>
      <xdr:rowOff>142875</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782" y="261938"/>
          <a:ext cx="2256495" cy="452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476251</xdr:colOff>
      <xdr:row>0</xdr:row>
      <xdr:rowOff>82422</xdr:rowOff>
    </xdr:from>
    <xdr:to>
      <xdr:col>3</xdr:col>
      <xdr:colOff>1107281</xdr:colOff>
      <xdr:row>3</xdr:row>
      <xdr:rowOff>59532</xdr:rowOff>
    </xdr:to>
    <xdr:pic>
      <xdr:nvPicPr>
        <xdr:cNvPr id="4" name="Picture 3"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657" y="82422"/>
          <a:ext cx="1750218" cy="548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83345</xdr:colOff>
      <xdr:row>0</xdr:row>
      <xdr:rowOff>142874</xdr:rowOff>
    </xdr:from>
    <xdr:to>
      <xdr:col>1</xdr:col>
      <xdr:colOff>2174504</xdr:colOff>
      <xdr:row>3</xdr:row>
      <xdr:rowOff>59531</xdr:rowOff>
    </xdr:to>
    <xdr:pic>
      <xdr:nvPicPr>
        <xdr:cNvPr id="5"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9595" y="142874"/>
          <a:ext cx="2091159" cy="48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654844</xdr:colOff>
      <xdr:row>0</xdr:row>
      <xdr:rowOff>46703</xdr:rowOff>
    </xdr:from>
    <xdr:to>
      <xdr:col>3</xdr:col>
      <xdr:colOff>940594</xdr:colOff>
      <xdr:row>3</xdr:row>
      <xdr:rowOff>35719</xdr:rowOff>
    </xdr:to>
    <xdr:pic>
      <xdr:nvPicPr>
        <xdr:cNvPr id="2" name="Picture 1" descr="farmacia del pueb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0" y="46703"/>
          <a:ext cx="1404938" cy="560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190501</xdr:colOff>
      <xdr:row>0</xdr:row>
      <xdr:rowOff>166687</xdr:rowOff>
    </xdr:from>
    <xdr:to>
      <xdr:col>1</xdr:col>
      <xdr:colOff>1316403</xdr:colOff>
      <xdr:row>2</xdr:row>
      <xdr:rowOff>166687</xdr:rowOff>
    </xdr:to>
    <xdr:pic>
      <xdr:nvPicPr>
        <xdr:cNvPr id="3" name="Picture 1" descr="Description: C:\Documents and Settings\Lmontero\Configuración local\Archivos temporales de Internet\Content.Outlook\8JW47KN9\promese-cal (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1" y="166687"/>
          <a:ext cx="1602152"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mesefs01\Archivos%20en%20comun%20Gerencia%20de%20Farmacia\Users\veras.yadira\AppData\Local\Microsoft\Windows\Temporary%20Internet%20Files\Content.Outlook\AVQ6S14G\BASE%20DE%20DATOS%20PERSONAL%20GFP%20(OCT-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sgpc03\Users\aquino.ana\Desktop\Users\veras.yadira\AppData\Local\Microsoft\Windows\Temporary%20Internet%20Files\Content.Outlook\AVQ6S14G\BASE%20DE%20DATOS%20PERSONAL%20GFP%20(OCT-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 DE TODO EL PAIS (2)"/>
      <sheetName val="Base de Datos FP"/>
      <sheetName val="Buscador_Farmacia"/>
      <sheetName val="Hoja10"/>
      <sheetName val="FP DE TODO EL PAIS"/>
      <sheetName val="Base de Datos"/>
      <sheetName val="Total de Emplados por Provincia"/>
      <sheetName val="Empleados por Provincia"/>
      <sheetName val="Fuera de Nomina"/>
      <sheetName val="BackUp Fuera de Nomina"/>
      <sheetName val="Empleados por Farmacia"/>
      <sheetName val="FP DE TODO EL PAIS (3)"/>
      <sheetName val="Hoja1"/>
    </sheetNames>
    <sheetDataSet>
      <sheetData sheetId="0"/>
      <sheetData sheetId="1"/>
      <sheetData sheetId="2"/>
      <sheetData sheetId="3"/>
      <sheetData sheetId="4"/>
      <sheetData sheetId="5">
        <row r="7">
          <cell r="GL7" t="str">
            <v xml:space="preserve">Farmacéutica </v>
          </cell>
          <cell r="GM7" t="str">
            <v>Cancelado</v>
          </cell>
        </row>
        <row r="8">
          <cell r="GL8" t="str">
            <v>Auxiliar</v>
          </cell>
          <cell r="GM8" t="str">
            <v>Licencia Permanente</v>
          </cell>
        </row>
        <row r="9">
          <cell r="GL9" t="str">
            <v>Encargada</v>
          </cell>
          <cell r="GM9" t="str">
            <v>Proceso de Pensión</v>
          </cell>
        </row>
        <row r="10">
          <cell r="GL10" t="str">
            <v>Farmacéutico</v>
          </cell>
          <cell r="GM10" t="str">
            <v>Cubriendo Licencia</v>
          </cell>
        </row>
        <row r="11">
          <cell r="GL11" t="str">
            <v>Auxiliar/Estudiante</v>
          </cell>
          <cell r="GM11" t="str">
            <v>Renuncia</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 DE TODO EL PAIS (2)"/>
      <sheetName val="Base de Datos FP"/>
      <sheetName val="Buscador_Farmacia"/>
      <sheetName val="Hoja10"/>
      <sheetName val="FP DE TODO EL PAIS"/>
      <sheetName val="Base de Datos"/>
      <sheetName val="Total de Emplados por Provincia"/>
      <sheetName val="Empleados por Provincia"/>
      <sheetName val="Fuera de Nomina"/>
      <sheetName val="BackUp Fuera de Nomina"/>
      <sheetName val="Empleados por Farmacia"/>
      <sheetName val="FP DE TODO EL PAIS (3)"/>
      <sheetName val="Hoja1"/>
    </sheetNames>
    <sheetDataSet>
      <sheetData sheetId="0"/>
      <sheetData sheetId="1"/>
      <sheetData sheetId="2"/>
      <sheetData sheetId="3"/>
      <sheetData sheetId="4"/>
      <sheetData sheetId="5">
        <row r="7">
          <cell r="GL7" t="str">
            <v xml:space="preserve">Farmacéutica </v>
          </cell>
          <cell r="GM7" t="str">
            <v>Cancelado</v>
          </cell>
        </row>
        <row r="8">
          <cell r="GL8" t="str">
            <v>Auxiliar</v>
          </cell>
          <cell r="GM8" t="str">
            <v>Licencia Permanente</v>
          </cell>
        </row>
        <row r="9">
          <cell r="GL9" t="str">
            <v>Encargada</v>
          </cell>
          <cell r="GM9" t="str">
            <v>Proceso de Pensión</v>
          </cell>
        </row>
        <row r="10">
          <cell r="GL10" t="str">
            <v>Farmacéutico</v>
          </cell>
          <cell r="GM10" t="str">
            <v>Cubriendo Licencia</v>
          </cell>
        </row>
        <row r="11">
          <cell r="GL11" t="str">
            <v>Auxiliar/Estudiante</v>
          </cell>
          <cell r="GM11" t="str">
            <v>Renuncia</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46"/>
  <sheetViews>
    <sheetView view="pageBreakPreview" topLeftCell="A16" zoomScale="80" zoomScaleNormal="80" zoomScaleSheetLayoutView="80" workbookViewId="0">
      <selection activeCell="A12" sqref="A12:XFD12"/>
    </sheetView>
  </sheetViews>
  <sheetFormatPr baseColWidth="10" defaultColWidth="11.42578125" defaultRowHeight="15" x14ac:dyDescent="0.25"/>
  <cols>
    <col min="1" max="1" width="7.140625" customWidth="1"/>
    <col min="2" max="2" width="46.5703125" customWidth="1"/>
    <col min="3" max="3" width="15.28515625" customWidth="1"/>
    <col min="4" max="4" width="20.7109375" bestFit="1" customWidth="1"/>
    <col min="5" max="5" width="13.42578125" customWidth="1"/>
  </cols>
  <sheetData>
    <row r="6" spans="1:5" s="13" customFormat="1" ht="18.75" x14ac:dyDescent="0.3">
      <c r="A6" s="84" t="s">
        <v>384</v>
      </c>
      <c r="B6" s="84"/>
      <c r="C6" s="84"/>
      <c r="D6" s="84"/>
      <c r="E6" s="19"/>
    </row>
    <row r="8" spans="1:5" ht="15" customHeight="1" x14ac:dyDescent="0.25">
      <c r="A8" s="82" t="s">
        <v>37</v>
      </c>
      <c r="B8" s="82"/>
      <c r="C8" s="82"/>
      <c r="D8" s="82"/>
    </row>
    <row r="9" spans="1:5" ht="15" customHeight="1" x14ac:dyDescent="0.25">
      <c r="A9" s="83"/>
      <c r="B9" s="83"/>
      <c r="C9" s="83"/>
      <c r="D9" s="83"/>
    </row>
    <row r="10" spans="1:5" ht="22.5" customHeight="1" x14ac:dyDescent="0.25">
      <c r="A10" s="2" t="s">
        <v>324</v>
      </c>
      <c r="B10" s="2" t="s">
        <v>12</v>
      </c>
      <c r="C10" s="2" t="s">
        <v>13</v>
      </c>
      <c r="D10" s="2" t="s">
        <v>402</v>
      </c>
    </row>
    <row r="11" spans="1:5" ht="15" customHeight="1" x14ac:dyDescent="0.25">
      <c r="A11" s="10">
        <v>1</v>
      </c>
      <c r="B11" s="3" t="s">
        <v>38</v>
      </c>
      <c r="C11" s="4">
        <f>6.55*4.6</f>
        <v>30.129999999999995</v>
      </c>
      <c r="D11" s="5">
        <v>81738.430000000008</v>
      </c>
    </row>
    <row r="12" spans="1:5" x14ac:dyDescent="0.25">
      <c r="A12" s="10">
        <v>2</v>
      </c>
      <c r="B12" s="3" t="s">
        <v>39</v>
      </c>
      <c r="C12" s="4">
        <f>5.3*4.55</f>
        <v>24.114999999999998</v>
      </c>
      <c r="D12" s="5">
        <v>81738.430000000008</v>
      </c>
    </row>
    <row r="13" spans="1:5" x14ac:dyDescent="0.25">
      <c r="A13" s="10">
        <v>3</v>
      </c>
      <c r="B13" s="3" t="s">
        <v>40</v>
      </c>
      <c r="C13" s="4">
        <f>7*5</f>
        <v>35</v>
      </c>
      <c r="D13" s="5">
        <v>98557.74</v>
      </c>
    </row>
    <row r="14" spans="1:5" x14ac:dyDescent="0.25">
      <c r="A14" s="10">
        <v>4</v>
      </c>
      <c r="B14" s="3" t="s">
        <v>341</v>
      </c>
      <c r="C14" s="4">
        <f>6.76*7.5</f>
        <v>50.699999999999996</v>
      </c>
      <c r="D14" s="5">
        <v>98557.74</v>
      </c>
    </row>
    <row r="15" spans="1:5" x14ac:dyDescent="0.25">
      <c r="A15" s="8">
        <f>+A14</f>
        <v>4</v>
      </c>
      <c r="D15" s="6">
        <f>SUM(D11:D14)</f>
        <v>360592.34</v>
      </c>
    </row>
    <row r="17" spans="1:4" ht="15" customHeight="1" x14ac:dyDescent="0.25">
      <c r="A17" s="82" t="s">
        <v>50</v>
      </c>
      <c r="B17" s="82"/>
      <c r="C17" s="82"/>
      <c r="D17" s="82"/>
    </row>
    <row r="18" spans="1:4" ht="15" customHeight="1" x14ac:dyDescent="0.25">
      <c r="A18" s="83"/>
      <c r="B18" s="83"/>
      <c r="C18" s="83"/>
      <c r="D18" s="83"/>
    </row>
    <row r="19" spans="1:4" ht="22.5" customHeight="1" x14ac:dyDescent="0.25">
      <c r="A19" s="2" t="s">
        <v>324</v>
      </c>
      <c r="B19" s="2" t="s">
        <v>12</v>
      </c>
      <c r="C19" s="2" t="s">
        <v>13</v>
      </c>
      <c r="D19" s="2" t="s">
        <v>402</v>
      </c>
    </row>
    <row r="20" spans="1:4" x14ac:dyDescent="0.25">
      <c r="A20" s="10">
        <v>1</v>
      </c>
      <c r="B20" s="3" t="s">
        <v>42</v>
      </c>
      <c r="C20" s="4">
        <f>4.85*7.05</f>
        <v>34.192499999999995</v>
      </c>
      <c r="D20" s="5">
        <v>84738.430000000008</v>
      </c>
    </row>
    <row r="21" spans="1:4" x14ac:dyDescent="0.25">
      <c r="A21" s="10">
        <v>2</v>
      </c>
      <c r="B21" s="3" t="s">
        <v>43</v>
      </c>
      <c r="C21" s="4">
        <f>3.16*5.62</f>
        <v>17.7592</v>
      </c>
      <c r="D21" s="5">
        <v>67138.95</v>
      </c>
    </row>
    <row r="22" spans="1:4" ht="15" customHeight="1" x14ac:dyDescent="0.25">
      <c r="A22" s="10">
        <v>3</v>
      </c>
      <c r="B22" s="3" t="s">
        <v>44</v>
      </c>
      <c r="C22" s="4">
        <f>3.1*6.75</f>
        <v>20.925000000000001</v>
      </c>
      <c r="D22" s="5">
        <v>67138.95</v>
      </c>
    </row>
    <row r="23" spans="1:4" x14ac:dyDescent="0.25">
      <c r="A23" s="10">
        <v>4</v>
      </c>
      <c r="B23" s="3" t="s">
        <v>45</v>
      </c>
      <c r="C23" s="4">
        <f>7.03*8.75</f>
        <v>61.512500000000003</v>
      </c>
      <c r="D23" s="5">
        <v>98557.74</v>
      </c>
    </row>
    <row r="24" spans="1:4" x14ac:dyDescent="0.25">
      <c r="A24" s="10">
        <v>5</v>
      </c>
      <c r="B24" s="3" t="s">
        <v>46</v>
      </c>
      <c r="C24" s="4">
        <f>5.6*5.9</f>
        <v>33.04</v>
      </c>
      <c r="D24" s="5">
        <v>81738.430000000008</v>
      </c>
    </row>
    <row r="25" spans="1:4" x14ac:dyDescent="0.25">
      <c r="A25" s="10">
        <v>6</v>
      </c>
      <c r="B25" s="3" t="s">
        <v>47</v>
      </c>
      <c r="C25" s="4">
        <f>3.12*5.62</f>
        <v>17.534400000000002</v>
      </c>
      <c r="D25" s="5">
        <v>67138.95</v>
      </c>
    </row>
    <row r="26" spans="1:4" x14ac:dyDescent="0.25">
      <c r="A26" s="10">
        <v>7</v>
      </c>
      <c r="B26" s="3" t="s">
        <v>48</v>
      </c>
      <c r="C26" s="4">
        <f>4.85*7.05</f>
        <v>34.192499999999995</v>
      </c>
      <c r="D26" s="5">
        <v>84738.430000000008</v>
      </c>
    </row>
    <row r="27" spans="1:4" x14ac:dyDescent="0.25">
      <c r="A27" s="10">
        <f>+A26+1</f>
        <v>8</v>
      </c>
      <c r="B27" s="3" t="s">
        <v>49</v>
      </c>
      <c r="C27" s="1">
        <f>3.4*5.62</f>
        <v>19.108000000000001</v>
      </c>
      <c r="D27" s="5">
        <v>67138.95</v>
      </c>
    </row>
    <row r="28" spans="1:4" x14ac:dyDescent="0.25">
      <c r="A28" s="9">
        <f>+A27</f>
        <v>8</v>
      </c>
      <c r="D28" s="6">
        <f>SUM(D20:D27)</f>
        <v>618328.82999999996</v>
      </c>
    </row>
    <row r="29" spans="1:4" x14ac:dyDescent="0.25">
      <c r="A29" s="9"/>
      <c r="D29" s="6"/>
    </row>
    <row r="30" spans="1:4" ht="15" customHeight="1" x14ac:dyDescent="0.25">
      <c r="A30" s="82" t="s">
        <v>94</v>
      </c>
      <c r="B30" s="82"/>
      <c r="C30" s="82"/>
      <c r="D30" s="82"/>
    </row>
    <row r="31" spans="1:4" ht="15" customHeight="1" x14ac:dyDescent="0.25">
      <c r="A31" s="83"/>
      <c r="B31" s="83"/>
      <c r="C31" s="83"/>
      <c r="D31" s="83"/>
    </row>
    <row r="32" spans="1:4" ht="22.5" customHeight="1" x14ac:dyDescent="0.25">
      <c r="A32" s="2" t="s">
        <v>324</v>
      </c>
      <c r="B32" s="2" t="s">
        <v>12</v>
      </c>
      <c r="C32" s="2" t="s">
        <v>13</v>
      </c>
      <c r="D32" s="2" t="s">
        <v>402</v>
      </c>
    </row>
    <row r="33" spans="1:4" x14ac:dyDescent="0.25">
      <c r="A33" s="10">
        <v>1</v>
      </c>
      <c r="B33" s="3" t="s">
        <v>95</v>
      </c>
      <c r="C33" s="4">
        <f>6*10</f>
        <v>60</v>
      </c>
      <c r="D33" s="5">
        <v>104878.68000000001</v>
      </c>
    </row>
    <row r="34" spans="1:4" ht="15.75" customHeight="1" x14ac:dyDescent="0.25">
      <c r="A34" s="10">
        <v>2</v>
      </c>
      <c r="B34" s="3" t="s">
        <v>96</v>
      </c>
      <c r="C34" s="4">
        <f>7*5</f>
        <v>35</v>
      </c>
      <c r="D34" s="5">
        <v>95557.74</v>
      </c>
    </row>
    <row r="35" spans="1:4" ht="15.75" customHeight="1" x14ac:dyDescent="0.25">
      <c r="A35" s="10">
        <v>3</v>
      </c>
      <c r="B35" s="3" t="s">
        <v>97</v>
      </c>
      <c r="C35" s="4">
        <f>7*5</f>
        <v>35</v>
      </c>
      <c r="D35" s="5">
        <v>95557.74</v>
      </c>
    </row>
    <row r="36" spans="1:4" x14ac:dyDescent="0.25">
      <c r="A36" s="10">
        <v>4</v>
      </c>
      <c r="B36" s="3" t="s">
        <v>98</v>
      </c>
      <c r="C36" s="4">
        <f>5.25*5.71</f>
        <v>29.977499999999999</v>
      </c>
      <c r="D36" s="5">
        <v>84738.430000000008</v>
      </c>
    </row>
    <row r="37" spans="1:4" x14ac:dyDescent="0.25">
      <c r="A37" s="8">
        <f>+A36</f>
        <v>4</v>
      </c>
      <c r="D37" s="6">
        <f>SUM(D33:D36)</f>
        <v>380732.59</v>
      </c>
    </row>
    <row r="39" spans="1:4" ht="15" customHeight="1" x14ac:dyDescent="0.25">
      <c r="A39" s="82" t="s">
        <v>116</v>
      </c>
      <c r="B39" s="82"/>
      <c r="C39" s="82"/>
      <c r="D39" s="82"/>
    </row>
    <row r="40" spans="1:4" ht="15" customHeight="1" x14ac:dyDescent="0.25">
      <c r="A40" s="83"/>
      <c r="B40" s="83"/>
      <c r="C40" s="83"/>
      <c r="D40" s="83"/>
    </row>
    <row r="41" spans="1:4" ht="22.5" customHeight="1" x14ac:dyDescent="0.25">
      <c r="A41" s="2" t="s">
        <v>324</v>
      </c>
      <c r="B41" s="2" t="s">
        <v>12</v>
      </c>
      <c r="C41" s="2" t="s">
        <v>13</v>
      </c>
      <c r="D41" s="2" t="s">
        <v>402</v>
      </c>
    </row>
    <row r="42" spans="1:4" x14ac:dyDescent="0.25">
      <c r="A42" s="10">
        <v>1</v>
      </c>
      <c r="B42" s="3" t="s">
        <v>328</v>
      </c>
      <c r="C42" s="4">
        <f>5.3*9.5</f>
        <v>50.35</v>
      </c>
      <c r="D42" s="5">
        <v>98557.74</v>
      </c>
    </row>
    <row r="43" spans="1:4" x14ac:dyDescent="0.25">
      <c r="A43" s="10">
        <v>2</v>
      </c>
      <c r="B43" s="3" t="s">
        <v>329</v>
      </c>
      <c r="C43" s="4">
        <f>7.5*6.25</f>
        <v>46.875</v>
      </c>
      <c r="D43" s="5">
        <v>98557.74</v>
      </c>
    </row>
    <row r="44" spans="1:4" x14ac:dyDescent="0.25">
      <c r="A44" s="8">
        <f>+A43</f>
        <v>2</v>
      </c>
      <c r="D44" s="6">
        <f>SUM(D42:D43)</f>
        <v>197115.48</v>
      </c>
    </row>
    <row r="46" spans="1:4" x14ac:dyDescent="0.25">
      <c r="A46" s="9">
        <f>+A15+A28+A37+A44</f>
        <v>18</v>
      </c>
      <c r="D46" s="6">
        <f>+D15+D28+D37+D44</f>
        <v>1556769.24</v>
      </c>
    </row>
  </sheetData>
  <mergeCells count="5">
    <mergeCell ref="A30:D31"/>
    <mergeCell ref="A39:D40"/>
    <mergeCell ref="A8:D9"/>
    <mergeCell ref="A17:D18"/>
    <mergeCell ref="A6:D6"/>
  </mergeCells>
  <pageMargins left="0.7" right="0.7" top="0.75" bottom="0.75" header="0.3" footer="0.3"/>
  <pageSetup scale="97" orientation="portrait" r:id="rId1"/>
  <headerFooter>
    <oddFooter>&amp;RPrecios Mantenimiento Zona 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43"/>
  <sheetViews>
    <sheetView view="pageBreakPreview" topLeftCell="A16" zoomScale="80" zoomScaleNormal="80" zoomScaleSheetLayoutView="80" workbookViewId="0">
      <selection activeCell="A20" sqref="A20:XFD20"/>
    </sheetView>
  </sheetViews>
  <sheetFormatPr baseColWidth="10" defaultColWidth="11.42578125" defaultRowHeight="15" x14ac:dyDescent="0.25"/>
  <cols>
    <col min="1" max="1" width="7.140625" customWidth="1"/>
    <col min="2" max="2" width="60.5703125" customWidth="1"/>
    <col min="3" max="3" width="16.7109375" customWidth="1"/>
    <col min="4" max="4" width="20" bestFit="1" customWidth="1"/>
  </cols>
  <sheetData>
    <row r="6" spans="1:4" ht="18.75" x14ac:dyDescent="0.3">
      <c r="A6" s="85" t="s">
        <v>383</v>
      </c>
      <c r="B6" s="86"/>
      <c r="C6" s="86"/>
      <c r="D6" s="87"/>
    </row>
    <row r="8" spans="1:4" ht="15" customHeight="1" x14ac:dyDescent="0.25">
      <c r="A8" s="82" t="s">
        <v>177</v>
      </c>
      <c r="B8" s="82"/>
      <c r="C8" s="82"/>
      <c r="D8" s="82"/>
    </row>
    <row r="9" spans="1:4" ht="15" customHeight="1" x14ac:dyDescent="0.25">
      <c r="A9" s="83"/>
      <c r="B9" s="83"/>
      <c r="C9" s="83"/>
      <c r="D9" s="83"/>
    </row>
    <row r="10" spans="1:4" ht="20.25" customHeight="1" x14ac:dyDescent="0.25">
      <c r="A10" s="2" t="s">
        <v>324</v>
      </c>
      <c r="B10" s="2" t="s">
        <v>12</v>
      </c>
      <c r="C10" s="2" t="s">
        <v>13</v>
      </c>
      <c r="D10" s="2" t="s">
        <v>402</v>
      </c>
    </row>
    <row r="11" spans="1:4" ht="15.75" customHeight="1" x14ac:dyDescent="0.25">
      <c r="A11" s="10">
        <v>1</v>
      </c>
      <c r="B11" s="3" t="s">
        <v>178</v>
      </c>
      <c r="C11" s="4">
        <f>3.52*3.52</f>
        <v>12.3904</v>
      </c>
      <c r="D11" s="5">
        <v>46167.65</v>
      </c>
    </row>
    <row r="12" spans="1:4" x14ac:dyDescent="0.25">
      <c r="A12" s="10">
        <v>2</v>
      </c>
      <c r="B12" s="3" t="s">
        <v>179</v>
      </c>
      <c r="C12" s="4">
        <f>5.38*6.91</f>
        <v>37.175800000000002</v>
      </c>
      <c r="D12" s="5">
        <v>98557.74</v>
      </c>
    </row>
    <row r="13" spans="1:4" x14ac:dyDescent="0.25">
      <c r="A13" s="10">
        <v>3</v>
      </c>
      <c r="B13" s="3" t="s">
        <v>180</v>
      </c>
      <c r="C13" s="4">
        <f>2.88*5.35</f>
        <v>15.407999999999998</v>
      </c>
      <c r="D13" s="5">
        <v>56480.11</v>
      </c>
    </row>
    <row r="14" spans="1:4" ht="14.25" customHeight="1" x14ac:dyDescent="0.25">
      <c r="A14" s="10">
        <v>4</v>
      </c>
      <c r="B14" s="3" t="s">
        <v>181</v>
      </c>
      <c r="C14" s="4">
        <f>6.65*6.87</f>
        <v>45.685500000000005</v>
      </c>
      <c r="D14" s="5">
        <v>98557.74</v>
      </c>
    </row>
    <row r="15" spans="1:4" ht="15.75" customHeight="1" x14ac:dyDescent="0.25">
      <c r="A15" s="10">
        <v>5</v>
      </c>
      <c r="B15" s="3" t="s">
        <v>182</v>
      </c>
      <c r="C15" s="4">
        <f>3.28*5.97</f>
        <v>19.581599999999998</v>
      </c>
      <c r="D15" s="5">
        <v>64138.95</v>
      </c>
    </row>
    <row r="16" spans="1:4" ht="15" customHeight="1" x14ac:dyDescent="0.25">
      <c r="A16" s="10">
        <v>6</v>
      </c>
      <c r="B16" s="3" t="s">
        <v>183</v>
      </c>
      <c r="C16" s="4">
        <f>3.04*5.53</f>
        <v>16.811199999999999</v>
      </c>
      <c r="D16" s="5">
        <v>53480.11</v>
      </c>
    </row>
    <row r="17" spans="1:4" x14ac:dyDescent="0.25">
      <c r="A17" s="10">
        <v>7</v>
      </c>
      <c r="B17" s="3" t="s">
        <v>184</v>
      </c>
      <c r="C17" s="4">
        <f>4.3*5.47</f>
        <v>23.520999999999997</v>
      </c>
      <c r="D17" s="5">
        <v>84738.430000000008</v>
      </c>
    </row>
    <row r="18" spans="1:4" x14ac:dyDescent="0.25">
      <c r="A18" s="10">
        <v>8</v>
      </c>
      <c r="B18" s="3" t="s">
        <v>185</v>
      </c>
      <c r="C18" s="4">
        <f>3.24*4.1</f>
        <v>13.283999999999999</v>
      </c>
      <c r="D18" s="5">
        <v>56480.11</v>
      </c>
    </row>
    <row r="19" spans="1:4" ht="15.75" customHeight="1" x14ac:dyDescent="0.25">
      <c r="A19" s="10">
        <v>9</v>
      </c>
      <c r="B19" s="3" t="s">
        <v>186</v>
      </c>
      <c r="C19" s="4">
        <f>3.26*4.67</f>
        <v>15.224199999999998</v>
      </c>
      <c r="D19" s="5">
        <v>56480.11</v>
      </c>
    </row>
    <row r="20" spans="1:4" ht="17.25" customHeight="1" x14ac:dyDescent="0.25">
      <c r="A20" s="10">
        <v>10</v>
      </c>
      <c r="B20" s="3" t="s">
        <v>187</v>
      </c>
      <c r="C20" s="4">
        <f>5.3*2.45</f>
        <v>12.985000000000001</v>
      </c>
      <c r="D20" s="5">
        <v>53480.11</v>
      </c>
    </row>
    <row r="21" spans="1:4" x14ac:dyDescent="0.25">
      <c r="A21" s="10">
        <v>11</v>
      </c>
      <c r="B21" s="3" t="s">
        <v>188</v>
      </c>
      <c r="C21" s="4">
        <v>46</v>
      </c>
      <c r="D21" s="5">
        <v>98557.74</v>
      </c>
    </row>
    <row r="22" spans="1:4" x14ac:dyDescent="0.25">
      <c r="A22" s="10">
        <v>12</v>
      </c>
      <c r="B22" s="3" t="s">
        <v>189</v>
      </c>
      <c r="C22" s="4">
        <f>8.42*12.02</f>
        <v>101.2084</v>
      </c>
      <c r="D22" s="5">
        <v>145345.08999999997</v>
      </c>
    </row>
    <row r="23" spans="1:4" x14ac:dyDescent="0.25">
      <c r="A23" s="10">
        <v>13</v>
      </c>
      <c r="B23" s="3" t="s">
        <v>190</v>
      </c>
      <c r="C23" s="4">
        <f>7.07*4.45</f>
        <v>31.461500000000001</v>
      </c>
      <c r="D23" s="5">
        <v>84738.430000000008</v>
      </c>
    </row>
    <row r="24" spans="1:4" x14ac:dyDescent="0.25">
      <c r="A24" s="10">
        <v>14</v>
      </c>
      <c r="B24" s="3" t="s">
        <v>191</v>
      </c>
      <c r="C24" s="4">
        <f>2.77*6.05</f>
        <v>16.758499999999998</v>
      </c>
      <c r="D24" s="5">
        <v>64138.95</v>
      </c>
    </row>
    <row r="25" spans="1:4" x14ac:dyDescent="0.25">
      <c r="A25" s="10">
        <v>15</v>
      </c>
      <c r="B25" s="3" t="s">
        <v>192</v>
      </c>
      <c r="C25" s="4">
        <f>4.2*4.31</f>
        <v>18.102</v>
      </c>
      <c r="D25" s="5">
        <v>67138.95</v>
      </c>
    </row>
    <row r="26" spans="1:4" ht="14.25" customHeight="1" x14ac:dyDescent="0.25">
      <c r="A26" s="10">
        <v>16</v>
      </c>
      <c r="B26" s="3" t="s">
        <v>193</v>
      </c>
      <c r="C26" s="4">
        <v>27.6</v>
      </c>
      <c r="D26" s="5">
        <v>84738.430000000008</v>
      </c>
    </row>
    <row r="27" spans="1:4" x14ac:dyDescent="0.25">
      <c r="A27" s="10">
        <v>17</v>
      </c>
      <c r="B27" s="3" t="s">
        <v>194</v>
      </c>
      <c r="C27" s="4">
        <f>4.38*5.42</f>
        <v>23.739599999999999</v>
      </c>
      <c r="D27" s="5">
        <v>84738.430000000008</v>
      </c>
    </row>
    <row r="28" spans="1:4" ht="17.25" customHeight="1" x14ac:dyDescent="0.25">
      <c r="A28" s="10">
        <v>18</v>
      </c>
      <c r="B28" s="3" t="s">
        <v>195</v>
      </c>
      <c r="C28" s="4">
        <v>27.36</v>
      </c>
      <c r="D28" s="5">
        <v>84738.430000000008</v>
      </c>
    </row>
    <row r="29" spans="1:4" ht="15.75" customHeight="1" x14ac:dyDescent="0.25">
      <c r="A29" s="10">
        <v>19</v>
      </c>
      <c r="B29" s="3" t="s">
        <v>196</v>
      </c>
      <c r="C29" s="4">
        <v>22</v>
      </c>
      <c r="D29" s="5">
        <v>64138.95</v>
      </c>
    </row>
    <row r="30" spans="1:4" ht="15" customHeight="1" x14ac:dyDescent="0.25">
      <c r="A30" s="10">
        <v>20</v>
      </c>
      <c r="B30" s="3" t="s">
        <v>197</v>
      </c>
      <c r="C30" s="4">
        <f>6.23*5.59</f>
        <v>34.825700000000005</v>
      </c>
      <c r="D30" s="5">
        <v>84738.430000000008</v>
      </c>
    </row>
    <row r="31" spans="1:4" x14ac:dyDescent="0.25">
      <c r="A31" s="10">
        <v>21</v>
      </c>
      <c r="B31" s="3" t="s">
        <v>198</v>
      </c>
      <c r="C31" s="4">
        <f>3.56*12.23</f>
        <v>43.538800000000002</v>
      </c>
      <c r="D31" s="5">
        <v>95557.74</v>
      </c>
    </row>
    <row r="32" spans="1:4" x14ac:dyDescent="0.25">
      <c r="A32" s="10">
        <v>22</v>
      </c>
      <c r="B32" s="3" t="s">
        <v>199</v>
      </c>
      <c r="C32" s="4">
        <f>4.53*5.01</f>
        <v>22.6953</v>
      </c>
      <c r="D32" s="5">
        <v>67138.95</v>
      </c>
    </row>
    <row r="33" spans="1:4" x14ac:dyDescent="0.25">
      <c r="A33" s="10">
        <v>23</v>
      </c>
      <c r="B33" s="3" t="s">
        <v>200</v>
      </c>
      <c r="C33" s="4">
        <f>7.48*5.95</f>
        <v>44.506000000000007</v>
      </c>
      <c r="D33" s="5">
        <v>98557.74</v>
      </c>
    </row>
    <row r="34" spans="1:4" x14ac:dyDescent="0.25">
      <c r="A34" s="10">
        <v>24</v>
      </c>
      <c r="B34" s="3" t="s">
        <v>201</v>
      </c>
      <c r="C34" s="4">
        <f>3.22*4.19</f>
        <v>13.491800000000001</v>
      </c>
      <c r="D34" s="5">
        <v>56480.11</v>
      </c>
    </row>
    <row r="35" spans="1:4" ht="14.25" customHeight="1" x14ac:dyDescent="0.25">
      <c r="A35" s="10">
        <v>25</v>
      </c>
      <c r="B35" s="3" t="s">
        <v>403</v>
      </c>
      <c r="C35" s="4">
        <f>4.4*4.28</f>
        <v>18.832000000000004</v>
      </c>
      <c r="D35" s="5">
        <v>67138.95</v>
      </c>
    </row>
    <row r="36" spans="1:4" ht="14.25" customHeight="1" x14ac:dyDescent="0.25">
      <c r="A36" s="10">
        <v>26</v>
      </c>
      <c r="B36" s="3" t="s">
        <v>203</v>
      </c>
      <c r="C36" s="4">
        <f>2.23*3.86</f>
        <v>8.6077999999999992</v>
      </c>
      <c r="D36" s="5">
        <v>46167.65</v>
      </c>
    </row>
    <row r="37" spans="1:4" ht="14.25" customHeight="1" x14ac:dyDescent="0.25">
      <c r="A37" s="10">
        <v>27</v>
      </c>
      <c r="B37" s="3" t="s">
        <v>204</v>
      </c>
      <c r="C37" s="4">
        <f>4.74*6.3</f>
        <v>29.862000000000002</v>
      </c>
      <c r="D37" s="5">
        <v>84738.430000000008</v>
      </c>
    </row>
    <row r="38" spans="1:4" ht="15.75" customHeight="1" x14ac:dyDescent="0.25">
      <c r="A38" s="10">
        <v>28</v>
      </c>
      <c r="B38" s="3" t="s">
        <v>205</v>
      </c>
      <c r="C38" s="4">
        <f>3.1*3.11</f>
        <v>9.641</v>
      </c>
      <c r="D38" s="5">
        <v>46167.65</v>
      </c>
    </row>
    <row r="39" spans="1:4" ht="17.25" customHeight="1" x14ac:dyDescent="0.25">
      <c r="A39" s="10">
        <v>29</v>
      </c>
      <c r="B39" s="3" t="s">
        <v>206</v>
      </c>
      <c r="C39" s="4">
        <f>3.88*3.67</f>
        <v>14.239599999999999</v>
      </c>
      <c r="D39" s="5">
        <v>53480.11</v>
      </c>
    </row>
    <row r="40" spans="1:4" ht="15.75" customHeight="1" x14ac:dyDescent="0.25">
      <c r="A40" s="10">
        <v>30</v>
      </c>
      <c r="B40" s="3" t="s">
        <v>27</v>
      </c>
      <c r="C40" s="4">
        <f>2.77*6.45</f>
        <v>17.866500000000002</v>
      </c>
      <c r="D40" s="5">
        <v>67138.95</v>
      </c>
    </row>
    <row r="41" spans="1:4" ht="15.75" customHeight="1" x14ac:dyDescent="0.25">
      <c r="A41" s="10">
        <v>31</v>
      </c>
      <c r="B41" s="3" t="s">
        <v>207</v>
      </c>
      <c r="C41" s="4">
        <f>3.77*4.45</f>
        <v>16.776500000000002</v>
      </c>
      <c r="D41" s="5">
        <v>64138.95</v>
      </c>
    </row>
    <row r="42" spans="1:4" x14ac:dyDescent="0.25">
      <c r="A42" s="10">
        <v>32</v>
      </c>
      <c r="B42" s="3" t="s">
        <v>208</v>
      </c>
      <c r="C42" s="4">
        <f>3.28*4.58</f>
        <v>15.022399999999999</v>
      </c>
      <c r="D42" s="5">
        <v>53480.11</v>
      </c>
    </row>
    <row r="43" spans="1:4" x14ac:dyDescent="0.25">
      <c r="A43" s="9">
        <f>+A42</f>
        <v>32</v>
      </c>
      <c r="D43" s="6">
        <f>SUM(D11:D42)</f>
        <v>2331758.2299999995</v>
      </c>
    </row>
  </sheetData>
  <mergeCells count="2">
    <mergeCell ref="A8:D9"/>
    <mergeCell ref="A6:D6"/>
  </mergeCells>
  <pageMargins left="0.7" right="0.7" top="0.75" bottom="0.75" header="0.3" footer="0.3"/>
  <pageSetup scale="86" orientation="portrait" r:id="rId1"/>
  <headerFooter>
    <oddFooter>&amp;RPrecios Mantenimiento Zona X</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48"/>
  <sheetViews>
    <sheetView view="pageBreakPreview" topLeftCell="A21" zoomScale="80" zoomScaleNormal="80" zoomScaleSheetLayoutView="80" workbookViewId="0">
      <selection activeCell="A48" sqref="A48"/>
    </sheetView>
  </sheetViews>
  <sheetFormatPr baseColWidth="10" defaultColWidth="11.42578125" defaultRowHeight="15" x14ac:dyDescent="0.25"/>
  <cols>
    <col min="1" max="1" width="7.140625" customWidth="1"/>
    <col min="2" max="2" width="58.42578125" customWidth="1"/>
    <col min="3" max="3" width="16.7109375" customWidth="1"/>
    <col min="4" max="4" width="20" bestFit="1" customWidth="1"/>
  </cols>
  <sheetData>
    <row r="6" spans="1:4" ht="18.75" x14ac:dyDescent="0.3">
      <c r="A6" s="85" t="s">
        <v>646</v>
      </c>
      <c r="B6" s="86"/>
      <c r="C6" s="86"/>
      <c r="D6" s="87"/>
    </row>
    <row r="8" spans="1:4" ht="15" customHeight="1" x14ac:dyDescent="0.25">
      <c r="A8" s="82" t="s">
        <v>51</v>
      </c>
      <c r="B8" s="82"/>
      <c r="C8" s="82"/>
      <c r="D8" s="82"/>
    </row>
    <row r="9" spans="1:4" ht="15" customHeight="1" x14ac:dyDescent="0.25">
      <c r="A9" s="83"/>
      <c r="B9" s="83"/>
      <c r="C9" s="83"/>
      <c r="D9" s="83"/>
    </row>
    <row r="10" spans="1:4" ht="22.5" customHeight="1" x14ac:dyDescent="0.25">
      <c r="A10" s="2" t="s">
        <v>324</v>
      </c>
      <c r="B10" s="2" t="s">
        <v>12</v>
      </c>
      <c r="C10" s="2" t="s">
        <v>13</v>
      </c>
      <c r="D10" s="2" t="s">
        <v>401</v>
      </c>
    </row>
    <row r="11" spans="1:4" x14ac:dyDescent="0.25">
      <c r="A11" s="10">
        <v>1</v>
      </c>
      <c r="B11" s="3" t="s">
        <v>52</v>
      </c>
      <c r="C11" s="4">
        <v>42</v>
      </c>
      <c r="D11" s="5">
        <v>98557.74</v>
      </c>
    </row>
    <row r="12" spans="1:4" x14ac:dyDescent="0.25">
      <c r="A12" s="10">
        <v>2</v>
      </c>
      <c r="B12" s="3" t="s">
        <v>53</v>
      </c>
      <c r="C12" s="4">
        <v>35</v>
      </c>
      <c r="D12" s="5">
        <v>98557.74</v>
      </c>
    </row>
    <row r="13" spans="1:4" x14ac:dyDescent="0.25">
      <c r="A13" s="10">
        <v>3</v>
      </c>
      <c r="B13" s="3" t="s">
        <v>330</v>
      </c>
      <c r="C13" s="4">
        <v>46</v>
      </c>
      <c r="D13" s="5">
        <v>98557.74</v>
      </c>
    </row>
    <row r="14" spans="1:4" x14ac:dyDescent="0.25">
      <c r="A14" s="10">
        <v>4</v>
      </c>
      <c r="B14" s="3" t="s">
        <v>54</v>
      </c>
      <c r="C14" s="4">
        <f>8.57*7</f>
        <v>59.99</v>
      </c>
      <c r="D14" s="5">
        <v>104878.68000000001</v>
      </c>
    </row>
    <row r="15" spans="1:4" x14ac:dyDescent="0.25">
      <c r="A15" s="8">
        <f>+A14</f>
        <v>4</v>
      </c>
      <c r="D15" s="6">
        <f>SUM(D11:D14)</f>
        <v>400551.9</v>
      </c>
    </row>
    <row r="16" spans="1:4" ht="15" customHeight="1" x14ac:dyDescent="0.25">
      <c r="B16" s="81"/>
      <c r="C16" s="81"/>
      <c r="D16" s="81"/>
    </row>
    <row r="17" spans="1:4" ht="15" customHeight="1" x14ac:dyDescent="0.25">
      <c r="A17" s="82" t="s">
        <v>112</v>
      </c>
      <c r="B17" s="82"/>
      <c r="C17" s="82"/>
      <c r="D17" s="82"/>
    </row>
    <row r="18" spans="1:4" ht="15" customHeight="1" x14ac:dyDescent="0.25">
      <c r="A18" s="83"/>
      <c r="B18" s="83"/>
      <c r="C18" s="83"/>
      <c r="D18" s="83"/>
    </row>
    <row r="19" spans="1:4" ht="22.5" customHeight="1" x14ac:dyDescent="0.25">
      <c r="A19" s="2" t="s">
        <v>324</v>
      </c>
      <c r="B19" s="2" t="s">
        <v>12</v>
      </c>
      <c r="C19" s="2" t="s">
        <v>13</v>
      </c>
      <c r="D19" s="2" t="s">
        <v>401</v>
      </c>
    </row>
    <row r="20" spans="1:4" ht="15.75" customHeight="1" x14ac:dyDescent="0.25">
      <c r="A20" s="10">
        <v>1</v>
      </c>
      <c r="B20" s="3" t="s">
        <v>113</v>
      </c>
      <c r="C20" s="4">
        <f>5.02*3.97</f>
        <v>19.929399999999998</v>
      </c>
      <c r="D20" s="5">
        <v>64138.95</v>
      </c>
    </row>
    <row r="21" spans="1:4" x14ac:dyDescent="0.25">
      <c r="A21" s="10">
        <v>2</v>
      </c>
      <c r="B21" s="3" t="s">
        <v>114</v>
      </c>
      <c r="C21" s="4">
        <f>7*10</f>
        <v>70</v>
      </c>
      <c r="D21" s="5">
        <v>145345.08999999997</v>
      </c>
    </row>
    <row r="22" spans="1:4" x14ac:dyDescent="0.25">
      <c r="A22" s="10">
        <v>3</v>
      </c>
      <c r="B22" s="3" t="s">
        <v>347</v>
      </c>
      <c r="C22" s="4">
        <f>4.49*4.13</f>
        <v>18.543700000000001</v>
      </c>
      <c r="D22" s="5">
        <v>67138.95</v>
      </c>
    </row>
    <row r="23" spans="1:4" x14ac:dyDescent="0.25">
      <c r="A23" s="10">
        <v>4</v>
      </c>
      <c r="B23" s="3" t="s">
        <v>346</v>
      </c>
      <c r="C23" s="4">
        <v>70</v>
      </c>
      <c r="D23" s="5">
        <v>145345.08999999997</v>
      </c>
    </row>
    <row r="24" spans="1:4" ht="16.5" customHeight="1" x14ac:dyDescent="0.25">
      <c r="A24" s="10">
        <v>5</v>
      </c>
      <c r="B24" s="3" t="s">
        <v>115</v>
      </c>
      <c r="C24" s="4">
        <f>5*7.05</f>
        <v>35.25</v>
      </c>
      <c r="D24" s="5">
        <v>98557.74</v>
      </c>
    </row>
    <row r="25" spans="1:4" x14ac:dyDescent="0.25">
      <c r="A25" s="8">
        <f>+A24</f>
        <v>5</v>
      </c>
      <c r="D25" s="6">
        <f>SUM(D20:D24)</f>
        <v>520525.81999999995</v>
      </c>
    </row>
    <row r="27" spans="1:4" ht="15" customHeight="1" x14ac:dyDescent="0.25">
      <c r="A27" s="82" t="s">
        <v>209</v>
      </c>
      <c r="B27" s="82"/>
      <c r="C27" s="82"/>
      <c r="D27" s="82"/>
    </row>
    <row r="28" spans="1:4" ht="15" customHeight="1" x14ac:dyDescent="0.25">
      <c r="A28" s="83"/>
      <c r="B28" s="83"/>
      <c r="C28" s="83"/>
      <c r="D28" s="83"/>
    </row>
    <row r="29" spans="1:4" ht="22.5" customHeight="1" x14ac:dyDescent="0.25">
      <c r="A29" s="2" t="s">
        <v>324</v>
      </c>
      <c r="B29" s="2" t="s">
        <v>12</v>
      </c>
      <c r="C29" s="2" t="s">
        <v>13</v>
      </c>
      <c r="D29" s="2" t="s">
        <v>401</v>
      </c>
    </row>
    <row r="30" spans="1:4" ht="14.25" customHeight="1" x14ac:dyDescent="0.25">
      <c r="A30" s="10">
        <v>1</v>
      </c>
      <c r="B30" s="3" t="s">
        <v>210</v>
      </c>
      <c r="C30" s="4">
        <f>7*5</f>
        <v>35</v>
      </c>
      <c r="D30" s="5">
        <v>98557.74</v>
      </c>
    </row>
    <row r="31" spans="1:4" x14ac:dyDescent="0.25">
      <c r="A31" s="10">
        <v>2</v>
      </c>
      <c r="B31" s="3" t="s">
        <v>353</v>
      </c>
      <c r="C31" s="4">
        <f>7*8.5</f>
        <v>59.5</v>
      </c>
      <c r="D31" s="5">
        <v>104878.68000000001</v>
      </c>
    </row>
    <row r="32" spans="1:4" x14ac:dyDescent="0.25">
      <c r="A32" s="8">
        <f>+A31</f>
        <v>2</v>
      </c>
      <c r="D32" s="6">
        <f>SUM(D30:D31)</f>
        <v>203436.42</v>
      </c>
    </row>
    <row r="34" spans="1:4" ht="15" customHeight="1" x14ac:dyDescent="0.25">
      <c r="A34" s="82" t="s">
        <v>211</v>
      </c>
      <c r="B34" s="82"/>
      <c r="C34" s="82"/>
      <c r="D34" s="82"/>
    </row>
    <row r="35" spans="1:4" ht="15" customHeight="1" x14ac:dyDescent="0.25">
      <c r="A35" s="83"/>
      <c r="B35" s="83"/>
      <c r="C35" s="83"/>
      <c r="D35" s="83"/>
    </row>
    <row r="36" spans="1:4" ht="22.5" customHeight="1" x14ac:dyDescent="0.25">
      <c r="A36" s="2" t="s">
        <v>324</v>
      </c>
      <c r="B36" s="2" t="s">
        <v>12</v>
      </c>
      <c r="C36" s="2" t="s">
        <v>13</v>
      </c>
      <c r="D36" s="2" t="s">
        <v>343</v>
      </c>
    </row>
    <row r="37" spans="1:4" x14ac:dyDescent="0.25">
      <c r="A37" s="10">
        <v>1</v>
      </c>
      <c r="B37" s="3" t="s">
        <v>212</v>
      </c>
      <c r="C37" s="4">
        <f>7.01*8.55</f>
        <v>59.935500000000005</v>
      </c>
      <c r="D37" s="5">
        <v>104878.68000000001</v>
      </c>
    </row>
    <row r="38" spans="1:4" ht="15.75" customHeight="1" x14ac:dyDescent="0.25">
      <c r="A38" s="10">
        <v>2</v>
      </c>
      <c r="B38" s="3" t="s">
        <v>213</v>
      </c>
      <c r="C38" s="4">
        <f>3.27*6.57</f>
        <v>21.483900000000002</v>
      </c>
      <c r="D38" s="5">
        <v>64138.95</v>
      </c>
    </row>
    <row r="39" spans="1:4" x14ac:dyDescent="0.25">
      <c r="A39" s="10">
        <v>3</v>
      </c>
      <c r="B39" s="3" t="s">
        <v>354</v>
      </c>
      <c r="C39" s="4">
        <f>7.97*10.32</f>
        <v>82.250399999999999</v>
      </c>
      <c r="D39" s="5">
        <v>145345.08999999997</v>
      </c>
    </row>
    <row r="40" spans="1:4" ht="14.25" customHeight="1" x14ac:dyDescent="0.25">
      <c r="A40" s="10">
        <v>4</v>
      </c>
      <c r="B40" s="3" t="s">
        <v>214</v>
      </c>
      <c r="C40" s="4">
        <f>3.36*4.13</f>
        <v>13.876799999999999</v>
      </c>
      <c r="D40" s="5">
        <v>56480.11</v>
      </c>
    </row>
    <row r="41" spans="1:4" ht="14.25" customHeight="1" x14ac:dyDescent="0.25">
      <c r="A41" s="10">
        <v>5</v>
      </c>
      <c r="B41" s="3" t="s">
        <v>215</v>
      </c>
      <c r="C41" s="4">
        <f>5.95*3.49</f>
        <v>20.765500000000003</v>
      </c>
      <c r="D41" s="5">
        <v>64138.95</v>
      </c>
    </row>
    <row r="42" spans="1:4" x14ac:dyDescent="0.25">
      <c r="A42" s="10">
        <v>6</v>
      </c>
      <c r="B42" s="3" t="s">
        <v>216</v>
      </c>
      <c r="C42" s="4">
        <f>1.96*6.01</f>
        <v>11.779599999999999</v>
      </c>
      <c r="D42" s="5">
        <v>46167.65</v>
      </c>
    </row>
    <row r="43" spans="1:4" x14ac:dyDescent="0.25">
      <c r="A43" s="10">
        <v>7</v>
      </c>
      <c r="B43" s="3" t="s">
        <v>217</v>
      </c>
      <c r="C43" s="4">
        <v>60</v>
      </c>
      <c r="D43" s="5">
        <v>104878.68000000001</v>
      </c>
    </row>
    <row r="44" spans="1:4" x14ac:dyDescent="0.25">
      <c r="A44" s="10">
        <v>8</v>
      </c>
      <c r="B44" s="3" t="s">
        <v>219</v>
      </c>
      <c r="C44" s="4">
        <f>5*7.05</f>
        <v>35.25</v>
      </c>
      <c r="D44" s="5">
        <v>98557.74</v>
      </c>
    </row>
    <row r="45" spans="1:4" x14ac:dyDescent="0.25">
      <c r="A45" s="10">
        <v>9</v>
      </c>
      <c r="B45" s="3" t="s">
        <v>220</v>
      </c>
      <c r="C45" s="4">
        <v>42</v>
      </c>
      <c r="D45" s="5">
        <v>98557.74</v>
      </c>
    </row>
    <row r="46" spans="1:4" x14ac:dyDescent="0.25">
      <c r="A46" s="8">
        <f>+A45</f>
        <v>9</v>
      </c>
      <c r="D46" s="6">
        <f>SUM(D37:D45)</f>
        <v>783143.59</v>
      </c>
    </row>
    <row r="48" spans="1:4" x14ac:dyDescent="0.25">
      <c r="A48" s="9">
        <f>+A15+A25+A32+A46</f>
        <v>20</v>
      </c>
      <c r="D48" s="6">
        <f>+D15+D25+D32+D46</f>
        <v>1907657.73</v>
      </c>
    </row>
  </sheetData>
  <mergeCells count="5">
    <mergeCell ref="A34:D35"/>
    <mergeCell ref="A27:D28"/>
    <mergeCell ref="A8:D9"/>
    <mergeCell ref="A6:D6"/>
    <mergeCell ref="A17:D18"/>
  </mergeCells>
  <dataValidations disablePrompts="1" count="1">
    <dataValidation showInputMessage="1" showErrorMessage="1" sqref="WVC13 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dataValidations>
  <pageMargins left="0.7" right="0.7" top="0.75" bottom="0.75" header="0.3" footer="0.3"/>
  <pageSetup scale="88" orientation="portrait" r:id="rId1"/>
  <headerFooter>
    <oddFooter>&amp;RPrecios Mantenimiento Zona XI</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43"/>
  <sheetViews>
    <sheetView topLeftCell="A10" zoomScale="80" zoomScaleNormal="80" zoomScaleSheetLayoutView="70" workbookViewId="0">
      <selection activeCell="D43" sqref="D43"/>
    </sheetView>
  </sheetViews>
  <sheetFormatPr baseColWidth="10" defaultColWidth="11.42578125" defaultRowHeight="15" x14ac:dyDescent="0.25"/>
  <cols>
    <col min="2" max="2" width="24.7109375" customWidth="1"/>
    <col min="3" max="3" width="19.42578125" style="7" customWidth="1"/>
    <col min="4" max="4" width="26.85546875" bestFit="1" customWidth="1"/>
    <col min="5" max="5" width="25.85546875" customWidth="1"/>
    <col min="6" max="6" width="20.42578125" customWidth="1"/>
  </cols>
  <sheetData>
    <row r="5" spans="1:5" x14ac:dyDescent="0.25">
      <c r="A5" s="100" t="s">
        <v>787</v>
      </c>
      <c r="B5" s="100"/>
      <c r="C5" s="100"/>
      <c r="D5" s="100"/>
      <c r="E5" s="100"/>
    </row>
    <row r="6" spans="1:5" ht="15.75" thickBot="1" x14ac:dyDescent="0.3"/>
    <row r="7" spans="1:5" ht="30" x14ac:dyDescent="0.25">
      <c r="A7" s="21" t="s">
        <v>394</v>
      </c>
      <c r="B7" s="23" t="s">
        <v>325</v>
      </c>
      <c r="C7" s="22" t="s">
        <v>326</v>
      </c>
      <c r="D7" s="26" t="s">
        <v>401</v>
      </c>
      <c r="E7" s="79" t="s">
        <v>404</v>
      </c>
    </row>
    <row r="8" spans="1:5" x14ac:dyDescent="0.25">
      <c r="A8" s="88" t="s">
        <v>370</v>
      </c>
      <c r="B8" s="20" t="s">
        <v>300</v>
      </c>
      <c r="C8" s="89">
        <v>18</v>
      </c>
      <c r="D8" s="92">
        <v>1556769.24</v>
      </c>
      <c r="E8" s="93" t="s">
        <v>367</v>
      </c>
    </row>
    <row r="9" spans="1:5" x14ac:dyDescent="0.25">
      <c r="A9" s="88"/>
      <c r="B9" s="20" t="s">
        <v>41</v>
      </c>
      <c r="C9" s="90"/>
      <c r="D9" s="92"/>
      <c r="E9" s="93"/>
    </row>
    <row r="10" spans="1:5" x14ac:dyDescent="0.25">
      <c r="A10" s="88"/>
      <c r="B10" s="20" t="s">
        <v>307</v>
      </c>
      <c r="C10" s="90"/>
      <c r="D10" s="92"/>
      <c r="E10" s="93"/>
    </row>
    <row r="11" spans="1:5" x14ac:dyDescent="0.25">
      <c r="A11" s="88"/>
      <c r="B11" s="20" t="s">
        <v>313</v>
      </c>
      <c r="C11" s="91"/>
      <c r="D11" s="92"/>
      <c r="E11" s="93"/>
    </row>
    <row r="12" spans="1:5" x14ac:dyDescent="0.25">
      <c r="A12" s="88" t="s">
        <v>371</v>
      </c>
      <c r="B12" s="20" t="s">
        <v>299</v>
      </c>
      <c r="C12" s="89">
        <v>15</v>
      </c>
      <c r="D12" s="92">
        <v>1322832.49</v>
      </c>
      <c r="E12" s="93" t="s">
        <v>367</v>
      </c>
    </row>
    <row r="13" spans="1:5" x14ac:dyDescent="0.25">
      <c r="A13" s="88"/>
      <c r="B13" s="20" t="s">
        <v>303</v>
      </c>
      <c r="C13" s="90"/>
      <c r="D13" s="92"/>
      <c r="E13" s="93"/>
    </row>
    <row r="14" spans="1:5" x14ac:dyDescent="0.25">
      <c r="A14" s="88"/>
      <c r="B14" s="20" t="s">
        <v>317</v>
      </c>
      <c r="C14" s="91"/>
      <c r="D14" s="92"/>
      <c r="E14" s="93"/>
    </row>
    <row r="15" spans="1:5" x14ac:dyDescent="0.25">
      <c r="A15" s="88" t="s">
        <v>372</v>
      </c>
      <c r="B15" s="20" t="s">
        <v>314</v>
      </c>
      <c r="C15" s="94">
        <v>24</v>
      </c>
      <c r="D15" s="92">
        <v>1863469.86</v>
      </c>
      <c r="E15" s="93" t="s">
        <v>788</v>
      </c>
    </row>
    <row r="16" spans="1:5" x14ac:dyDescent="0.25">
      <c r="A16" s="88"/>
      <c r="B16" s="20" t="s">
        <v>316</v>
      </c>
      <c r="C16" s="95"/>
      <c r="D16" s="92"/>
      <c r="E16" s="93"/>
    </row>
    <row r="17" spans="1:5" x14ac:dyDescent="0.25">
      <c r="A17" s="88"/>
      <c r="B17" s="20" t="s">
        <v>405</v>
      </c>
      <c r="C17" s="96"/>
      <c r="D17" s="92"/>
      <c r="E17" s="93"/>
    </row>
    <row r="18" spans="1:5" x14ac:dyDescent="0.25">
      <c r="A18" s="88" t="s">
        <v>373</v>
      </c>
      <c r="B18" s="20" t="s">
        <v>308</v>
      </c>
      <c r="C18" s="89">
        <v>24</v>
      </c>
      <c r="D18" s="92">
        <v>1812854.72</v>
      </c>
      <c r="E18" s="93" t="s">
        <v>367</v>
      </c>
    </row>
    <row r="19" spans="1:5" x14ac:dyDescent="0.25">
      <c r="A19" s="88"/>
      <c r="B19" s="20" t="s">
        <v>327</v>
      </c>
      <c r="C19" s="90"/>
      <c r="D19" s="92"/>
      <c r="E19" s="93"/>
    </row>
    <row r="20" spans="1:5" x14ac:dyDescent="0.25">
      <c r="A20" s="88"/>
      <c r="B20" s="20" t="s">
        <v>305</v>
      </c>
      <c r="C20" s="90"/>
      <c r="D20" s="92"/>
      <c r="E20" s="93"/>
    </row>
    <row r="21" spans="1:5" x14ac:dyDescent="0.25">
      <c r="A21" s="88"/>
      <c r="B21" s="20" t="s">
        <v>309</v>
      </c>
      <c r="C21" s="90"/>
      <c r="D21" s="92"/>
      <c r="E21" s="93"/>
    </row>
    <row r="22" spans="1:5" x14ac:dyDescent="0.25">
      <c r="A22" s="88"/>
      <c r="B22" s="20" t="s">
        <v>406</v>
      </c>
      <c r="C22" s="91"/>
      <c r="D22" s="92"/>
      <c r="E22" s="93"/>
    </row>
    <row r="23" spans="1:5" x14ac:dyDescent="0.25">
      <c r="A23" s="43" t="s">
        <v>374</v>
      </c>
      <c r="B23" s="20" t="s">
        <v>301</v>
      </c>
      <c r="C23" s="16">
        <v>41</v>
      </c>
      <c r="D23" s="5">
        <v>2865301.0099999993</v>
      </c>
      <c r="E23" s="80" t="s">
        <v>367</v>
      </c>
    </row>
    <row r="24" spans="1:5" x14ac:dyDescent="0.25">
      <c r="A24" s="97" t="s">
        <v>375</v>
      </c>
      <c r="B24" s="20" t="s">
        <v>320</v>
      </c>
      <c r="C24" s="89">
        <v>49</v>
      </c>
      <c r="D24" s="92">
        <v>3205692.44</v>
      </c>
      <c r="E24" s="93" t="s">
        <v>367</v>
      </c>
    </row>
    <row r="25" spans="1:5" x14ac:dyDescent="0.25">
      <c r="A25" s="98"/>
      <c r="B25" s="20" t="s">
        <v>321</v>
      </c>
      <c r="C25" s="90"/>
      <c r="D25" s="92"/>
      <c r="E25" s="93"/>
    </row>
    <row r="26" spans="1:5" x14ac:dyDescent="0.25">
      <c r="A26" s="99"/>
      <c r="B26" s="20" t="s">
        <v>322</v>
      </c>
      <c r="C26" s="91"/>
      <c r="D26" s="92"/>
      <c r="E26" s="93"/>
    </row>
    <row r="27" spans="1:5" x14ac:dyDescent="0.25">
      <c r="A27" s="88" t="s">
        <v>376</v>
      </c>
      <c r="B27" s="20" t="s">
        <v>311</v>
      </c>
      <c r="C27" s="89">
        <v>28</v>
      </c>
      <c r="D27" s="105">
        <v>2451586.0299999998</v>
      </c>
      <c r="E27" s="93" t="s">
        <v>367</v>
      </c>
    </row>
    <row r="28" spans="1:5" x14ac:dyDescent="0.25">
      <c r="A28" s="88"/>
      <c r="B28" s="20" t="s">
        <v>407</v>
      </c>
      <c r="C28" s="90"/>
      <c r="D28" s="105"/>
      <c r="E28" s="93"/>
    </row>
    <row r="29" spans="1:5" x14ac:dyDescent="0.25">
      <c r="A29" s="88"/>
      <c r="B29" s="20" t="s">
        <v>318</v>
      </c>
      <c r="C29" s="90"/>
      <c r="D29" s="105"/>
      <c r="E29" s="93"/>
    </row>
    <row r="30" spans="1:5" x14ac:dyDescent="0.25">
      <c r="A30" s="88"/>
      <c r="B30" s="20" t="s">
        <v>310</v>
      </c>
      <c r="C30" s="91"/>
      <c r="D30" s="105"/>
      <c r="E30" s="93"/>
    </row>
    <row r="31" spans="1:5" x14ac:dyDescent="0.25">
      <c r="A31" s="88" t="s">
        <v>377</v>
      </c>
      <c r="B31" s="20" t="s">
        <v>408</v>
      </c>
      <c r="C31" s="89">
        <v>23</v>
      </c>
      <c r="D31" s="92">
        <v>2250380.5299999998</v>
      </c>
      <c r="E31" s="93" t="s">
        <v>367</v>
      </c>
    </row>
    <row r="32" spans="1:5" x14ac:dyDescent="0.25">
      <c r="A32" s="88"/>
      <c r="B32" s="20" t="s">
        <v>409</v>
      </c>
      <c r="C32" s="90"/>
      <c r="D32" s="92"/>
      <c r="E32" s="93"/>
    </row>
    <row r="33" spans="1:5" x14ac:dyDescent="0.25">
      <c r="A33" s="88"/>
      <c r="B33" s="20" t="s">
        <v>302</v>
      </c>
      <c r="C33" s="91"/>
      <c r="D33" s="92"/>
      <c r="E33" s="93"/>
    </row>
    <row r="34" spans="1:5" x14ac:dyDescent="0.25">
      <c r="A34" s="88" t="s">
        <v>378</v>
      </c>
      <c r="B34" s="20" t="s">
        <v>304</v>
      </c>
      <c r="C34" s="89">
        <v>21</v>
      </c>
      <c r="D34" s="92">
        <v>1689720.33</v>
      </c>
      <c r="E34" s="93" t="s">
        <v>367</v>
      </c>
    </row>
    <row r="35" spans="1:5" x14ac:dyDescent="0.25">
      <c r="A35" s="88"/>
      <c r="B35" s="20" t="s">
        <v>306</v>
      </c>
      <c r="C35" s="90"/>
      <c r="D35" s="92"/>
      <c r="E35" s="93"/>
    </row>
    <row r="36" spans="1:5" x14ac:dyDescent="0.25">
      <c r="A36" s="88"/>
      <c r="B36" s="20" t="s">
        <v>315</v>
      </c>
      <c r="C36" s="91"/>
      <c r="D36" s="92"/>
      <c r="E36" s="93"/>
    </row>
    <row r="37" spans="1:5" x14ac:dyDescent="0.25">
      <c r="A37" s="25" t="s">
        <v>379</v>
      </c>
      <c r="B37" s="20" t="s">
        <v>319</v>
      </c>
      <c r="C37" s="16">
        <v>32</v>
      </c>
      <c r="D37" s="5">
        <v>2331758.23</v>
      </c>
      <c r="E37" s="80" t="s">
        <v>367</v>
      </c>
    </row>
    <row r="38" spans="1:5" x14ac:dyDescent="0.25">
      <c r="A38" s="88" t="s">
        <v>645</v>
      </c>
      <c r="B38" s="20" t="s">
        <v>410</v>
      </c>
      <c r="C38" s="89">
        <v>20</v>
      </c>
      <c r="D38" s="92">
        <v>1907657.73</v>
      </c>
      <c r="E38" s="93" t="s">
        <v>367</v>
      </c>
    </row>
    <row r="39" spans="1:5" x14ac:dyDescent="0.25">
      <c r="A39" s="88"/>
      <c r="B39" s="20" t="s">
        <v>312</v>
      </c>
      <c r="C39" s="90"/>
      <c r="D39" s="92"/>
      <c r="E39" s="93"/>
    </row>
    <row r="40" spans="1:5" x14ac:dyDescent="0.25">
      <c r="A40" s="88"/>
      <c r="B40" s="20" t="s">
        <v>411</v>
      </c>
      <c r="C40" s="90"/>
      <c r="D40" s="92"/>
      <c r="E40" s="93"/>
    </row>
    <row r="41" spans="1:5" ht="15.75" thickBot="1" x14ac:dyDescent="0.3">
      <c r="A41" s="101"/>
      <c r="B41" s="24" t="s">
        <v>323</v>
      </c>
      <c r="C41" s="102"/>
      <c r="D41" s="103"/>
      <c r="E41" s="104"/>
    </row>
    <row r="43" spans="1:5" x14ac:dyDescent="0.25">
      <c r="B43" s="11" t="s">
        <v>396</v>
      </c>
      <c r="C43" s="78">
        <f>SUM(C8:C42)</f>
        <v>295</v>
      </c>
      <c r="D43" s="14">
        <f>SUM(D8:D42)</f>
        <v>23258022.609999999</v>
      </c>
    </row>
  </sheetData>
  <mergeCells count="37">
    <mergeCell ref="A5:E5"/>
    <mergeCell ref="A38:A41"/>
    <mergeCell ref="C38:C41"/>
    <mergeCell ref="D38:D41"/>
    <mergeCell ref="E38:E41"/>
    <mergeCell ref="A34:A36"/>
    <mergeCell ref="C34:C36"/>
    <mergeCell ref="D34:D36"/>
    <mergeCell ref="E34:E36"/>
    <mergeCell ref="A31:A33"/>
    <mergeCell ref="C31:C33"/>
    <mergeCell ref="D31:D33"/>
    <mergeCell ref="E31:E33"/>
    <mergeCell ref="A27:A30"/>
    <mergeCell ref="C27:C30"/>
    <mergeCell ref="D27:D30"/>
    <mergeCell ref="E27:E30"/>
    <mergeCell ref="A24:A26"/>
    <mergeCell ref="C24:C26"/>
    <mergeCell ref="D24:D26"/>
    <mergeCell ref="E24:E26"/>
    <mergeCell ref="A18:A22"/>
    <mergeCell ref="C18:C22"/>
    <mergeCell ref="D18:D22"/>
    <mergeCell ref="E18:E22"/>
    <mergeCell ref="A15:A17"/>
    <mergeCell ref="C15:C17"/>
    <mergeCell ref="D15:D17"/>
    <mergeCell ref="E15:E17"/>
    <mergeCell ref="A12:A14"/>
    <mergeCell ref="C12:C14"/>
    <mergeCell ref="D12:D14"/>
    <mergeCell ref="E12:E14"/>
    <mergeCell ref="A8:A11"/>
    <mergeCell ref="C8:C11"/>
    <mergeCell ref="D8:D11"/>
    <mergeCell ref="E8:E11"/>
  </mergeCells>
  <printOptions horizontalCentered="1"/>
  <pageMargins left="0.7" right="0.7" top="0.75" bottom="0.75" header="0.3" footer="0.3"/>
  <pageSetup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405"/>
  <sheetViews>
    <sheetView view="pageBreakPreview" topLeftCell="A148" zoomScaleNormal="80" zoomScaleSheetLayoutView="100" workbookViewId="0">
      <selection activeCell="F351" sqref="F351"/>
    </sheetView>
  </sheetViews>
  <sheetFormatPr baseColWidth="10" defaultColWidth="11.42578125" defaultRowHeight="12.75" x14ac:dyDescent="0.2"/>
  <cols>
    <col min="1" max="1" width="5.85546875" style="47" customWidth="1"/>
    <col min="2" max="2" width="86.42578125" style="50" customWidth="1"/>
    <col min="3" max="3" width="23.85546875" style="47" customWidth="1"/>
    <col min="4" max="4" width="19.42578125" style="47" customWidth="1"/>
    <col min="5" max="16384" width="11.42578125" style="47"/>
  </cols>
  <sheetData>
    <row r="6" spans="1:4" ht="36" customHeight="1" x14ac:dyDescent="0.2">
      <c r="A6" s="45" t="s">
        <v>369</v>
      </c>
      <c r="B6" s="46" t="s">
        <v>326</v>
      </c>
      <c r="C6" s="46" t="s">
        <v>381</v>
      </c>
      <c r="D6" s="46" t="s">
        <v>368</v>
      </c>
    </row>
    <row r="7" spans="1:4" x14ac:dyDescent="0.2">
      <c r="A7" s="48" t="s">
        <v>370</v>
      </c>
      <c r="B7" s="48" t="e">
        <f>+#REF!</f>
        <v>#REF!</v>
      </c>
      <c r="C7" s="49" t="e">
        <f>+#REF!</f>
        <v>#REF!</v>
      </c>
      <c r="D7" s="50" t="e">
        <f>+#REF!</f>
        <v>#REF!</v>
      </c>
    </row>
    <row r="8" spans="1:4" x14ac:dyDescent="0.2">
      <c r="A8" s="48" t="s">
        <v>371</v>
      </c>
      <c r="B8" s="48" t="e">
        <f>+#REF!</f>
        <v>#REF!</v>
      </c>
      <c r="C8" s="49" t="e">
        <f>+#REF!</f>
        <v>#REF!</v>
      </c>
      <c r="D8" s="50" t="e">
        <f>+#REF!</f>
        <v>#REF!</v>
      </c>
    </row>
    <row r="9" spans="1:4" x14ac:dyDescent="0.2">
      <c r="A9" s="48" t="s">
        <v>372</v>
      </c>
      <c r="B9" s="48" t="e">
        <f>+#REF!</f>
        <v>#REF!</v>
      </c>
      <c r="C9" s="49" t="e">
        <f>+#REF!</f>
        <v>#REF!</v>
      </c>
      <c r="D9" s="50" t="e">
        <f>+#REF!</f>
        <v>#REF!</v>
      </c>
    </row>
    <row r="10" spans="1:4" x14ac:dyDescent="0.2">
      <c r="A10" s="48" t="s">
        <v>373</v>
      </c>
      <c r="B10" s="48" t="e">
        <f>+#REF!</f>
        <v>#REF!</v>
      </c>
      <c r="C10" s="49" t="e">
        <f>+#REF!</f>
        <v>#REF!</v>
      </c>
      <c r="D10" s="50" t="e">
        <f>+#REF!</f>
        <v>#REF!</v>
      </c>
    </row>
    <row r="11" spans="1:4" x14ac:dyDescent="0.2">
      <c r="A11" s="48" t="s">
        <v>374</v>
      </c>
      <c r="B11" s="48" t="e">
        <f>+#REF!</f>
        <v>#REF!</v>
      </c>
      <c r="C11" s="49" t="e">
        <f>+#REF!</f>
        <v>#REF!</v>
      </c>
      <c r="D11" s="50" t="e">
        <f>+#REF!</f>
        <v>#REF!</v>
      </c>
    </row>
    <row r="12" spans="1:4" x14ac:dyDescent="0.2">
      <c r="A12" s="48" t="s">
        <v>375</v>
      </c>
      <c r="B12" s="48" t="e">
        <f>+#REF!</f>
        <v>#REF!</v>
      </c>
      <c r="C12" s="49" t="e">
        <f>+#REF!</f>
        <v>#REF!</v>
      </c>
      <c r="D12" s="50" t="e">
        <f>+#REF!</f>
        <v>#REF!</v>
      </c>
    </row>
    <row r="13" spans="1:4" x14ac:dyDescent="0.2">
      <c r="A13" s="48" t="s">
        <v>376</v>
      </c>
      <c r="B13" s="48" t="e">
        <f>+#REF!</f>
        <v>#REF!</v>
      </c>
      <c r="C13" s="49" t="e">
        <f>+#REF!</f>
        <v>#REF!</v>
      </c>
      <c r="D13" s="50" t="e">
        <f>+#REF!</f>
        <v>#REF!</v>
      </c>
    </row>
    <row r="14" spans="1:4" x14ac:dyDescent="0.2">
      <c r="A14" s="48" t="s">
        <v>377</v>
      </c>
      <c r="B14" s="48" t="e">
        <f>+#REF!</f>
        <v>#REF!</v>
      </c>
      <c r="C14" s="49" t="e">
        <f>+#REF!</f>
        <v>#REF!</v>
      </c>
      <c r="D14" s="50" t="e">
        <f>+#REF!</f>
        <v>#REF!</v>
      </c>
    </row>
    <row r="15" spans="1:4" x14ac:dyDescent="0.2">
      <c r="A15" s="48" t="s">
        <v>378</v>
      </c>
      <c r="B15" s="48" t="e">
        <f>+#REF!</f>
        <v>#REF!</v>
      </c>
      <c r="C15" s="49" t="e">
        <f>+#REF!</f>
        <v>#REF!</v>
      </c>
      <c r="D15" s="50" t="e">
        <f>+#REF!</f>
        <v>#REF!</v>
      </c>
    </row>
    <row r="16" spans="1:4" x14ac:dyDescent="0.2">
      <c r="A16" s="48" t="s">
        <v>379</v>
      </c>
      <c r="B16" s="48" t="e">
        <f>+#REF!</f>
        <v>#REF!</v>
      </c>
      <c r="C16" s="49" t="e">
        <f>+#REF!</f>
        <v>#REF!</v>
      </c>
      <c r="D16" s="50" t="e">
        <f>+#REF!</f>
        <v>#REF!</v>
      </c>
    </row>
    <row r="17" spans="1:4" x14ac:dyDescent="0.2">
      <c r="A17" s="51"/>
      <c r="B17" s="52" t="e">
        <f>SUM(B7:B16)</f>
        <v>#REF!</v>
      </c>
      <c r="C17" s="53" t="e">
        <f>SUM(C7:C16)</f>
        <v>#REF!</v>
      </c>
      <c r="D17" s="51"/>
    </row>
    <row r="18" spans="1:4" x14ac:dyDescent="0.2">
      <c r="A18" s="51"/>
      <c r="B18" s="48"/>
      <c r="C18" s="54"/>
      <c r="D18" s="51"/>
    </row>
    <row r="19" spans="1:4" x14ac:dyDescent="0.2">
      <c r="A19" s="51"/>
      <c r="B19" s="48"/>
      <c r="C19" s="54"/>
      <c r="D19" s="51"/>
    </row>
    <row r="20" spans="1:4" x14ac:dyDescent="0.2">
      <c r="A20" s="51"/>
      <c r="B20" s="55" t="s">
        <v>380</v>
      </c>
      <c r="C20" s="56"/>
      <c r="D20" s="51"/>
    </row>
    <row r="21" spans="1:4" x14ac:dyDescent="0.2">
      <c r="A21" s="51"/>
      <c r="B21" s="48"/>
      <c r="C21" s="54"/>
      <c r="D21" s="51"/>
    </row>
    <row r="22" spans="1:4" x14ac:dyDescent="0.2">
      <c r="A22" s="51"/>
      <c r="B22" s="48"/>
      <c r="C22" s="57"/>
      <c r="D22" s="58"/>
    </row>
    <row r="23" spans="1:4" x14ac:dyDescent="0.2">
      <c r="A23" s="59"/>
      <c r="B23" s="60" t="s">
        <v>384</v>
      </c>
      <c r="C23" s="61"/>
      <c r="D23" s="51"/>
    </row>
    <row r="24" spans="1:4" x14ac:dyDescent="0.2">
      <c r="A24" s="62"/>
      <c r="B24" s="63" t="s">
        <v>37</v>
      </c>
      <c r="C24" s="62"/>
    </row>
    <row r="25" spans="1:4" x14ac:dyDescent="0.2">
      <c r="A25" s="12">
        <v>1</v>
      </c>
      <c r="B25" s="17" t="s">
        <v>38</v>
      </c>
      <c r="C25" s="62"/>
    </row>
    <row r="26" spans="1:4" x14ac:dyDescent="0.2">
      <c r="A26" s="12">
        <v>2</v>
      </c>
      <c r="B26" s="17" t="s">
        <v>39</v>
      </c>
      <c r="C26" s="62"/>
    </row>
    <row r="27" spans="1:4" x14ac:dyDescent="0.2">
      <c r="A27" s="12">
        <v>3</v>
      </c>
      <c r="B27" s="17" t="s">
        <v>40</v>
      </c>
      <c r="C27" s="62"/>
    </row>
    <row r="28" spans="1:4" x14ac:dyDescent="0.2">
      <c r="A28" s="12">
        <v>4</v>
      </c>
      <c r="B28" s="17" t="s">
        <v>341</v>
      </c>
      <c r="C28" s="62"/>
    </row>
    <row r="29" spans="1:4" x14ac:dyDescent="0.2">
      <c r="A29" s="12"/>
      <c r="B29" s="17"/>
      <c r="C29" s="62"/>
    </row>
    <row r="30" spans="1:4" x14ac:dyDescent="0.2">
      <c r="A30" s="62"/>
      <c r="B30" s="63" t="s">
        <v>50</v>
      </c>
      <c r="C30" s="62"/>
    </row>
    <row r="31" spans="1:4" x14ac:dyDescent="0.2">
      <c r="A31" s="12">
        <v>1</v>
      </c>
      <c r="B31" s="17" t="s">
        <v>42</v>
      </c>
      <c r="C31" s="62"/>
    </row>
    <row r="32" spans="1:4" x14ac:dyDescent="0.2">
      <c r="A32" s="12">
        <v>2</v>
      </c>
      <c r="B32" s="17" t="s">
        <v>43</v>
      </c>
      <c r="C32" s="62"/>
    </row>
    <row r="33" spans="1:3" x14ac:dyDescent="0.2">
      <c r="A33" s="12">
        <v>3</v>
      </c>
      <c r="B33" s="17" t="s">
        <v>44</v>
      </c>
      <c r="C33" s="62"/>
    </row>
    <row r="34" spans="1:3" x14ac:dyDescent="0.2">
      <c r="A34" s="12">
        <v>4</v>
      </c>
      <c r="B34" s="17" t="s">
        <v>45</v>
      </c>
      <c r="C34" s="62"/>
    </row>
    <row r="35" spans="1:3" x14ac:dyDescent="0.2">
      <c r="A35" s="12">
        <v>5</v>
      </c>
      <c r="B35" s="17" t="s">
        <v>46</v>
      </c>
      <c r="C35" s="62"/>
    </row>
    <row r="36" spans="1:3" x14ac:dyDescent="0.2">
      <c r="A36" s="12">
        <v>6</v>
      </c>
      <c r="B36" s="17" t="s">
        <v>47</v>
      </c>
      <c r="C36" s="62"/>
    </row>
    <row r="37" spans="1:3" x14ac:dyDescent="0.2">
      <c r="A37" s="12">
        <v>7</v>
      </c>
      <c r="B37" s="17" t="s">
        <v>48</v>
      </c>
      <c r="C37" s="62"/>
    </row>
    <row r="38" spans="1:3" x14ac:dyDescent="0.2">
      <c r="A38" s="12">
        <v>8</v>
      </c>
      <c r="B38" s="17" t="s">
        <v>49</v>
      </c>
      <c r="C38" s="62"/>
    </row>
    <row r="39" spans="1:3" x14ac:dyDescent="0.2">
      <c r="A39" s="62"/>
      <c r="B39" s="12"/>
      <c r="C39" s="62"/>
    </row>
    <row r="40" spans="1:3" x14ac:dyDescent="0.2">
      <c r="A40" s="62"/>
      <c r="B40" s="63" t="s">
        <v>94</v>
      </c>
      <c r="C40" s="62"/>
    </row>
    <row r="41" spans="1:3" x14ac:dyDescent="0.2">
      <c r="A41" s="12">
        <v>1</v>
      </c>
      <c r="B41" s="17" t="s">
        <v>95</v>
      </c>
      <c r="C41" s="62"/>
    </row>
    <row r="42" spans="1:3" x14ac:dyDescent="0.2">
      <c r="A42" s="12">
        <v>2</v>
      </c>
      <c r="B42" s="17" t="s">
        <v>96</v>
      </c>
      <c r="C42" s="62"/>
    </row>
    <row r="43" spans="1:3" x14ac:dyDescent="0.2">
      <c r="A43" s="12">
        <v>3</v>
      </c>
      <c r="B43" s="17" t="s">
        <v>97</v>
      </c>
      <c r="C43" s="62"/>
    </row>
    <row r="44" spans="1:3" x14ac:dyDescent="0.2">
      <c r="A44" s="12">
        <v>4</v>
      </c>
      <c r="B44" s="17" t="s">
        <v>98</v>
      </c>
      <c r="C44" s="62"/>
    </row>
    <row r="45" spans="1:3" x14ac:dyDescent="0.2">
      <c r="A45" s="62"/>
      <c r="B45" s="12"/>
      <c r="C45" s="62"/>
    </row>
    <row r="46" spans="1:3" x14ac:dyDescent="0.2">
      <c r="A46" s="62"/>
      <c r="B46" s="63" t="s">
        <v>116</v>
      </c>
      <c r="C46" s="62"/>
    </row>
    <row r="47" spans="1:3" x14ac:dyDescent="0.2">
      <c r="A47" s="12">
        <v>1</v>
      </c>
      <c r="B47" s="17" t="s">
        <v>328</v>
      </c>
      <c r="C47" s="62"/>
    </row>
    <row r="48" spans="1:3" x14ac:dyDescent="0.2">
      <c r="A48" s="12">
        <v>2</v>
      </c>
      <c r="B48" s="17" t="s">
        <v>329</v>
      </c>
      <c r="C48" s="62"/>
    </row>
    <row r="50" spans="1:4" x14ac:dyDescent="0.2">
      <c r="A50" s="59"/>
      <c r="B50" s="60" t="s">
        <v>392</v>
      </c>
      <c r="C50" s="61"/>
      <c r="D50" s="51"/>
    </row>
    <row r="51" spans="1:4" x14ac:dyDescent="0.2">
      <c r="B51" s="63" t="s">
        <v>36</v>
      </c>
    </row>
    <row r="52" spans="1:4" s="62" customFormat="1" x14ac:dyDescent="0.2">
      <c r="A52" s="12">
        <v>1</v>
      </c>
      <c r="B52" s="17" t="s">
        <v>34</v>
      </c>
    </row>
    <row r="53" spans="1:4" s="62" customFormat="1" x14ac:dyDescent="0.2">
      <c r="A53" s="12">
        <f>+A52+1</f>
        <v>2</v>
      </c>
      <c r="B53" s="17" t="s">
        <v>33</v>
      </c>
    </row>
    <row r="54" spans="1:4" s="62" customFormat="1" x14ac:dyDescent="0.2">
      <c r="A54" s="12">
        <v>3</v>
      </c>
      <c r="B54" s="17" t="s">
        <v>397</v>
      </c>
    </row>
    <row r="55" spans="1:4" s="62" customFormat="1" x14ac:dyDescent="0.2">
      <c r="A55" s="12">
        <v>4</v>
      </c>
      <c r="B55" s="17" t="s">
        <v>356</v>
      </c>
    </row>
    <row r="57" spans="1:4" s="62" customFormat="1" x14ac:dyDescent="0.2">
      <c r="B57" s="63" t="s">
        <v>71</v>
      </c>
    </row>
    <row r="58" spans="1:4" s="62" customFormat="1" x14ac:dyDescent="0.2">
      <c r="A58" s="12">
        <v>1</v>
      </c>
      <c r="B58" s="17" t="s">
        <v>72</v>
      </c>
    </row>
    <row r="59" spans="1:4" s="62" customFormat="1" x14ac:dyDescent="0.2">
      <c r="A59" s="12">
        <v>2</v>
      </c>
      <c r="B59" s="17" t="s">
        <v>73</v>
      </c>
    </row>
    <row r="60" spans="1:4" s="62" customFormat="1" x14ac:dyDescent="0.2">
      <c r="A60" s="12">
        <v>3</v>
      </c>
      <c r="B60" s="17" t="s">
        <v>74</v>
      </c>
    </row>
    <row r="61" spans="1:4" s="62" customFormat="1" x14ac:dyDescent="0.2">
      <c r="A61" s="12">
        <v>4</v>
      </c>
      <c r="B61" s="17" t="s">
        <v>75</v>
      </c>
    </row>
    <row r="62" spans="1:4" s="62" customFormat="1" x14ac:dyDescent="0.2">
      <c r="B62" s="12"/>
    </row>
    <row r="63" spans="1:4" s="62" customFormat="1" x14ac:dyDescent="0.2">
      <c r="B63" s="63" t="s">
        <v>154</v>
      </c>
    </row>
    <row r="64" spans="1:4" s="62" customFormat="1" x14ac:dyDescent="0.2">
      <c r="A64" s="12">
        <v>1</v>
      </c>
      <c r="B64" s="17" t="s">
        <v>155</v>
      </c>
    </row>
    <row r="65" spans="1:4" s="62" customFormat="1" x14ac:dyDescent="0.2">
      <c r="A65" s="12">
        <v>2</v>
      </c>
      <c r="B65" s="17" t="s">
        <v>337</v>
      </c>
    </row>
    <row r="66" spans="1:4" s="62" customFormat="1" x14ac:dyDescent="0.2">
      <c r="A66" s="12">
        <v>3</v>
      </c>
      <c r="B66" s="17" t="s">
        <v>156</v>
      </c>
    </row>
    <row r="67" spans="1:4" s="62" customFormat="1" x14ac:dyDescent="0.2">
      <c r="A67" s="12">
        <v>4</v>
      </c>
      <c r="B67" s="17" t="s">
        <v>157</v>
      </c>
    </row>
    <row r="68" spans="1:4" s="62" customFormat="1" x14ac:dyDescent="0.2">
      <c r="A68" s="12">
        <v>5</v>
      </c>
      <c r="B68" s="17" t="s">
        <v>158</v>
      </c>
    </row>
    <row r="69" spans="1:4" s="62" customFormat="1" x14ac:dyDescent="0.2">
      <c r="A69" s="12">
        <v>6</v>
      </c>
      <c r="B69" s="17" t="s">
        <v>159</v>
      </c>
    </row>
    <row r="70" spans="1:4" s="62" customFormat="1" x14ac:dyDescent="0.2">
      <c r="A70" s="12">
        <v>7</v>
      </c>
      <c r="B70" s="17" t="s">
        <v>160</v>
      </c>
    </row>
    <row r="71" spans="1:4" s="62" customFormat="1" x14ac:dyDescent="0.2">
      <c r="B71" s="12"/>
    </row>
    <row r="72" spans="1:4" x14ac:dyDescent="0.2">
      <c r="A72" s="59"/>
      <c r="B72" s="60" t="s">
        <v>391</v>
      </c>
      <c r="C72" s="61"/>
      <c r="D72" s="51"/>
    </row>
    <row r="73" spans="1:4" x14ac:dyDescent="0.2">
      <c r="B73" s="63" t="s">
        <v>121</v>
      </c>
    </row>
    <row r="74" spans="1:4" s="62" customFormat="1" x14ac:dyDescent="0.2">
      <c r="A74" s="12">
        <v>1</v>
      </c>
      <c r="B74" s="17" t="s">
        <v>117</v>
      </c>
    </row>
    <row r="75" spans="1:4" s="62" customFormat="1" x14ac:dyDescent="0.2">
      <c r="A75" s="12">
        <v>2</v>
      </c>
      <c r="B75" s="17" t="s">
        <v>118</v>
      </c>
    </row>
    <row r="76" spans="1:4" s="62" customFormat="1" x14ac:dyDescent="0.2">
      <c r="A76" s="12">
        <v>3</v>
      </c>
      <c r="B76" s="17" t="s">
        <v>119</v>
      </c>
    </row>
    <row r="77" spans="1:4" s="62" customFormat="1" x14ac:dyDescent="0.2">
      <c r="A77" s="12">
        <v>4</v>
      </c>
      <c r="B77" s="17" t="s">
        <v>120</v>
      </c>
    </row>
    <row r="78" spans="1:4" s="62" customFormat="1" x14ac:dyDescent="0.2">
      <c r="A78" s="12">
        <v>5</v>
      </c>
      <c r="B78" s="17" t="s">
        <v>348</v>
      </c>
    </row>
    <row r="79" spans="1:4" s="62" customFormat="1" x14ac:dyDescent="0.2">
      <c r="B79" s="12"/>
    </row>
    <row r="80" spans="1:4" x14ac:dyDescent="0.2">
      <c r="B80" s="64" t="s">
        <v>151</v>
      </c>
    </row>
    <row r="81" spans="1:2" s="62" customFormat="1" x14ac:dyDescent="0.2">
      <c r="A81" s="12">
        <v>1</v>
      </c>
      <c r="B81" s="17" t="s">
        <v>152</v>
      </c>
    </row>
    <row r="83" spans="1:2" s="62" customFormat="1" x14ac:dyDescent="0.2">
      <c r="B83" s="63" t="s">
        <v>138</v>
      </c>
    </row>
    <row r="84" spans="1:2" s="62" customFormat="1" x14ac:dyDescent="0.2">
      <c r="A84" s="12">
        <v>1</v>
      </c>
      <c r="B84" s="17" t="s">
        <v>139</v>
      </c>
    </row>
    <row r="85" spans="1:2" s="62" customFormat="1" x14ac:dyDescent="0.2">
      <c r="A85" s="12">
        <v>2</v>
      </c>
      <c r="B85" s="17" t="s">
        <v>140</v>
      </c>
    </row>
    <row r="86" spans="1:2" s="62" customFormat="1" x14ac:dyDescent="0.2">
      <c r="A86" s="12">
        <v>3</v>
      </c>
      <c r="B86" s="17" t="s">
        <v>141</v>
      </c>
    </row>
    <row r="87" spans="1:2" s="62" customFormat="1" x14ac:dyDescent="0.2">
      <c r="A87" s="12">
        <v>4</v>
      </c>
      <c r="B87" s="17" t="s">
        <v>142</v>
      </c>
    </row>
    <row r="88" spans="1:2" s="62" customFormat="1" x14ac:dyDescent="0.2">
      <c r="A88" s="12">
        <v>5</v>
      </c>
      <c r="B88" s="17" t="s">
        <v>143</v>
      </c>
    </row>
    <row r="89" spans="1:2" s="62" customFormat="1" x14ac:dyDescent="0.2">
      <c r="A89" s="12">
        <v>6</v>
      </c>
      <c r="B89" s="17" t="s">
        <v>352</v>
      </c>
    </row>
    <row r="90" spans="1:2" s="62" customFormat="1" x14ac:dyDescent="0.2">
      <c r="A90" s="12">
        <v>7</v>
      </c>
      <c r="B90" s="17" t="s">
        <v>351</v>
      </c>
    </row>
    <row r="91" spans="1:2" s="62" customFormat="1" x14ac:dyDescent="0.2">
      <c r="A91" s="12">
        <v>8</v>
      </c>
      <c r="B91" s="17" t="s">
        <v>144</v>
      </c>
    </row>
    <row r="92" spans="1:2" s="62" customFormat="1" x14ac:dyDescent="0.2">
      <c r="A92" s="12">
        <v>9</v>
      </c>
      <c r="B92" s="17" t="s">
        <v>145</v>
      </c>
    </row>
    <row r="93" spans="1:2" s="62" customFormat="1" x14ac:dyDescent="0.2">
      <c r="A93" s="12">
        <v>10</v>
      </c>
      <c r="B93" s="17" t="s">
        <v>382</v>
      </c>
    </row>
    <row r="94" spans="1:2" s="62" customFormat="1" x14ac:dyDescent="0.2">
      <c r="A94" s="12">
        <v>11</v>
      </c>
      <c r="B94" s="17" t="s">
        <v>30</v>
      </c>
    </row>
    <row r="95" spans="1:2" s="62" customFormat="1" x14ac:dyDescent="0.2">
      <c r="A95" s="12">
        <v>12</v>
      </c>
      <c r="B95" s="17" t="s">
        <v>146</v>
      </c>
    </row>
    <row r="96" spans="1:2" s="62" customFormat="1" x14ac:dyDescent="0.2">
      <c r="A96" s="12">
        <v>13</v>
      </c>
      <c r="B96" s="17" t="s">
        <v>147</v>
      </c>
    </row>
    <row r="97" spans="1:4" s="62" customFormat="1" x14ac:dyDescent="0.2">
      <c r="A97" s="12">
        <v>14</v>
      </c>
      <c r="B97" s="17" t="s">
        <v>148</v>
      </c>
    </row>
    <row r="98" spans="1:4" s="62" customFormat="1" x14ac:dyDescent="0.2">
      <c r="A98" s="12">
        <v>15</v>
      </c>
      <c r="B98" s="17" t="s">
        <v>150</v>
      </c>
    </row>
    <row r="99" spans="1:4" s="62" customFormat="1" x14ac:dyDescent="0.2">
      <c r="A99" s="12">
        <v>16</v>
      </c>
      <c r="B99" s="17" t="s">
        <v>292</v>
      </c>
    </row>
    <row r="100" spans="1:4" s="62" customFormat="1" x14ac:dyDescent="0.2">
      <c r="A100" s="12">
        <v>17</v>
      </c>
      <c r="B100" s="17" t="s">
        <v>350</v>
      </c>
    </row>
    <row r="101" spans="1:4" s="62" customFormat="1" x14ac:dyDescent="0.2">
      <c r="B101" s="12"/>
    </row>
    <row r="102" spans="1:4" x14ac:dyDescent="0.2">
      <c r="A102" s="59"/>
      <c r="B102" s="60" t="s">
        <v>390</v>
      </c>
      <c r="C102" s="61"/>
      <c r="D102" s="51"/>
    </row>
    <row r="104" spans="1:4" s="62" customFormat="1" x14ac:dyDescent="0.2">
      <c r="B104" s="63" t="s">
        <v>23</v>
      </c>
    </row>
    <row r="105" spans="1:4" x14ac:dyDescent="0.2">
      <c r="A105" s="12">
        <v>1</v>
      </c>
      <c r="B105" s="17" t="s">
        <v>24</v>
      </c>
    </row>
    <row r="106" spans="1:4" x14ac:dyDescent="0.2">
      <c r="A106" s="12">
        <v>2</v>
      </c>
      <c r="B106" s="17" t="s">
        <v>25</v>
      </c>
    </row>
    <row r="107" spans="1:4" x14ac:dyDescent="0.2">
      <c r="A107" s="12">
        <v>3</v>
      </c>
      <c r="B107" s="17" t="s">
        <v>26</v>
      </c>
    </row>
    <row r="108" spans="1:4" x14ac:dyDescent="0.2">
      <c r="A108" s="12">
        <v>4</v>
      </c>
      <c r="B108" s="17" t="s">
        <v>27</v>
      </c>
    </row>
    <row r="109" spans="1:4" x14ac:dyDescent="0.2">
      <c r="A109" s="12">
        <v>5</v>
      </c>
      <c r="B109" s="17" t="s">
        <v>28</v>
      </c>
    </row>
    <row r="110" spans="1:4" x14ac:dyDescent="0.2">
      <c r="A110" s="12">
        <v>6</v>
      </c>
      <c r="B110" s="17" t="s">
        <v>331</v>
      </c>
    </row>
    <row r="111" spans="1:4" x14ac:dyDescent="0.2">
      <c r="A111" s="62"/>
      <c r="B111" s="12"/>
    </row>
    <row r="112" spans="1:4" x14ac:dyDescent="0.2">
      <c r="A112" s="62"/>
      <c r="B112" s="63" t="s">
        <v>69</v>
      </c>
    </row>
    <row r="113" spans="1:3" s="62" customFormat="1" x14ac:dyDescent="0.2">
      <c r="A113" s="12">
        <v>1</v>
      </c>
      <c r="B113" s="17" t="s">
        <v>342</v>
      </c>
    </row>
    <row r="114" spans="1:3" s="62" customFormat="1" x14ac:dyDescent="0.2">
      <c r="A114" s="12">
        <v>2</v>
      </c>
      <c r="B114" s="17" t="s">
        <v>70</v>
      </c>
    </row>
    <row r="115" spans="1:3" s="62" customFormat="1" x14ac:dyDescent="0.2">
      <c r="A115" s="12">
        <v>3</v>
      </c>
      <c r="B115" s="17" t="s">
        <v>338</v>
      </c>
    </row>
    <row r="116" spans="1:3" s="62" customFormat="1" x14ac:dyDescent="0.2">
      <c r="B116" s="12"/>
    </row>
    <row r="117" spans="1:3" s="62" customFormat="1" x14ac:dyDescent="0.2">
      <c r="B117" s="63" t="s">
        <v>86</v>
      </c>
    </row>
    <row r="118" spans="1:3" s="62" customFormat="1" x14ac:dyDescent="0.2">
      <c r="A118" s="12">
        <v>1</v>
      </c>
      <c r="B118" s="17" t="s">
        <v>87</v>
      </c>
    </row>
    <row r="119" spans="1:3" s="62" customFormat="1" x14ac:dyDescent="0.2">
      <c r="A119" s="12">
        <v>2</v>
      </c>
      <c r="B119" s="17" t="s">
        <v>88</v>
      </c>
    </row>
    <row r="120" spans="1:3" s="62" customFormat="1" x14ac:dyDescent="0.2">
      <c r="A120" s="12">
        <v>3</v>
      </c>
      <c r="B120" s="17" t="s">
        <v>89</v>
      </c>
    </row>
    <row r="121" spans="1:3" s="62" customFormat="1" x14ac:dyDescent="0.2">
      <c r="B121" s="12"/>
    </row>
    <row r="122" spans="1:3" s="62" customFormat="1" x14ac:dyDescent="0.2">
      <c r="B122" s="63" t="s">
        <v>99</v>
      </c>
    </row>
    <row r="123" spans="1:3" s="62" customFormat="1" x14ac:dyDescent="0.2">
      <c r="A123" s="12">
        <v>1</v>
      </c>
      <c r="B123" s="17" t="s">
        <v>332</v>
      </c>
    </row>
    <row r="124" spans="1:3" s="62" customFormat="1" x14ac:dyDescent="0.2">
      <c r="A124" s="12">
        <v>2</v>
      </c>
      <c r="B124" s="17" t="s">
        <v>333</v>
      </c>
    </row>
    <row r="125" spans="1:3" s="62" customFormat="1" x14ac:dyDescent="0.2">
      <c r="A125" s="12">
        <v>3</v>
      </c>
      <c r="B125" s="17" t="s">
        <v>334</v>
      </c>
      <c r="C125" s="65"/>
    </row>
    <row r="126" spans="1:3" s="62" customFormat="1" x14ac:dyDescent="0.2">
      <c r="A126" s="12">
        <v>4</v>
      </c>
      <c r="B126" s="17" t="s">
        <v>336</v>
      </c>
      <c r="C126" s="65"/>
    </row>
    <row r="127" spans="1:3" x14ac:dyDescent="0.2">
      <c r="C127" s="66"/>
    </row>
    <row r="128" spans="1:3" s="62" customFormat="1" x14ac:dyDescent="0.2">
      <c r="B128" s="63" t="s">
        <v>161</v>
      </c>
    </row>
    <row r="129" spans="1:4" s="62" customFormat="1" x14ac:dyDescent="0.2">
      <c r="A129" s="12">
        <v>1</v>
      </c>
      <c r="B129" s="17" t="s">
        <v>162</v>
      </c>
    </row>
    <row r="130" spans="1:4" s="62" customFormat="1" x14ac:dyDescent="0.2">
      <c r="A130" s="12">
        <v>2</v>
      </c>
      <c r="B130" s="17" t="s">
        <v>163</v>
      </c>
    </row>
    <row r="131" spans="1:4" s="62" customFormat="1" x14ac:dyDescent="0.2">
      <c r="A131" s="12">
        <v>3</v>
      </c>
      <c r="B131" s="17" t="s">
        <v>164</v>
      </c>
    </row>
    <row r="132" spans="1:4" s="62" customFormat="1" x14ac:dyDescent="0.2">
      <c r="A132" s="12">
        <v>4</v>
      </c>
      <c r="B132" s="17" t="s">
        <v>165</v>
      </c>
    </row>
    <row r="133" spans="1:4" s="62" customFormat="1" x14ac:dyDescent="0.2">
      <c r="A133" s="12">
        <v>5</v>
      </c>
      <c r="B133" s="17" t="s">
        <v>166</v>
      </c>
    </row>
    <row r="134" spans="1:4" s="62" customFormat="1" x14ac:dyDescent="0.2">
      <c r="A134" s="12">
        <v>6</v>
      </c>
      <c r="B134" s="17" t="s">
        <v>167</v>
      </c>
    </row>
    <row r="135" spans="1:4" s="62" customFormat="1" x14ac:dyDescent="0.2">
      <c r="A135" s="12">
        <v>7</v>
      </c>
      <c r="B135" s="17" t="s">
        <v>168</v>
      </c>
    </row>
    <row r="136" spans="1:4" s="62" customFormat="1" x14ac:dyDescent="0.2">
      <c r="A136" s="12">
        <v>8</v>
      </c>
      <c r="B136" s="17" t="s">
        <v>169</v>
      </c>
    </row>
    <row r="137" spans="1:4" s="62" customFormat="1" x14ac:dyDescent="0.2">
      <c r="A137" s="12">
        <v>9</v>
      </c>
      <c r="B137" s="17" t="s">
        <v>170</v>
      </c>
    </row>
    <row r="138" spans="1:4" s="62" customFormat="1" x14ac:dyDescent="0.2">
      <c r="B138" s="12"/>
    </row>
    <row r="139" spans="1:4" x14ac:dyDescent="0.2">
      <c r="A139" s="59"/>
      <c r="B139" s="60" t="s">
        <v>389</v>
      </c>
      <c r="C139" s="61"/>
      <c r="D139" s="51"/>
    </row>
    <row r="140" spans="1:4" x14ac:dyDescent="0.2">
      <c r="A140" s="59"/>
      <c r="B140" s="60"/>
      <c r="C140" s="60"/>
      <c r="D140" s="51"/>
    </row>
    <row r="141" spans="1:4" x14ac:dyDescent="0.2">
      <c r="B141" s="64" t="s">
        <v>271</v>
      </c>
    </row>
    <row r="142" spans="1:4" s="62" customFormat="1" x14ac:dyDescent="0.2">
      <c r="A142" s="12">
        <v>1</v>
      </c>
      <c r="B142" s="17" t="s">
        <v>221</v>
      </c>
    </row>
    <row r="143" spans="1:4" s="62" customFormat="1" x14ac:dyDescent="0.2">
      <c r="A143" s="12">
        <v>2</v>
      </c>
      <c r="B143" s="17" t="s">
        <v>222</v>
      </c>
    </row>
    <row r="144" spans="1:4" s="62" customFormat="1" x14ac:dyDescent="0.2">
      <c r="A144" s="12">
        <v>3</v>
      </c>
      <c r="B144" s="17" t="s">
        <v>357</v>
      </c>
    </row>
    <row r="145" spans="1:2" s="62" customFormat="1" x14ac:dyDescent="0.2">
      <c r="A145" s="12">
        <v>4</v>
      </c>
      <c r="B145" s="17" t="s">
        <v>223</v>
      </c>
    </row>
    <row r="146" spans="1:2" s="62" customFormat="1" x14ac:dyDescent="0.2">
      <c r="A146" s="12">
        <v>5</v>
      </c>
      <c r="B146" s="17" t="s">
        <v>358</v>
      </c>
    </row>
    <row r="147" spans="1:2" s="62" customFormat="1" x14ac:dyDescent="0.2">
      <c r="A147" s="12">
        <v>6</v>
      </c>
      <c r="B147" s="17" t="s">
        <v>224</v>
      </c>
    </row>
    <row r="148" spans="1:2" s="62" customFormat="1" x14ac:dyDescent="0.2">
      <c r="A148" s="12">
        <v>7</v>
      </c>
      <c r="B148" s="17" t="s">
        <v>225</v>
      </c>
    </row>
    <row r="149" spans="1:2" s="62" customFormat="1" x14ac:dyDescent="0.2">
      <c r="A149" s="12">
        <v>8</v>
      </c>
      <c r="B149" s="17" t="s">
        <v>226</v>
      </c>
    </row>
    <row r="150" spans="1:2" s="62" customFormat="1" x14ac:dyDescent="0.2">
      <c r="A150" s="12">
        <v>9</v>
      </c>
      <c r="B150" s="17" t="s">
        <v>227</v>
      </c>
    </row>
    <row r="151" spans="1:2" s="62" customFormat="1" x14ac:dyDescent="0.2">
      <c r="A151" s="12">
        <v>10</v>
      </c>
      <c r="B151" s="17" t="s">
        <v>228</v>
      </c>
    </row>
    <row r="152" spans="1:2" s="62" customFormat="1" x14ac:dyDescent="0.2">
      <c r="A152" s="12">
        <v>11</v>
      </c>
      <c r="B152" s="17" t="s">
        <v>229</v>
      </c>
    </row>
    <row r="153" spans="1:2" s="62" customFormat="1" x14ac:dyDescent="0.2">
      <c r="A153" s="12">
        <v>12</v>
      </c>
      <c r="B153" s="17" t="s">
        <v>359</v>
      </c>
    </row>
    <row r="154" spans="1:2" s="62" customFormat="1" x14ac:dyDescent="0.2">
      <c r="A154" s="12">
        <v>13</v>
      </c>
      <c r="B154" s="17" t="s">
        <v>360</v>
      </c>
    </row>
    <row r="155" spans="1:2" s="62" customFormat="1" x14ac:dyDescent="0.2">
      <c r="A155" s="12">
        <v>14</v>
      </c>
      <c r="B155" s="17" t="s">
        <v>230</v>
      </c>
    </row>
    <row r="156" spans="1:2" s="62" customFormat="1" x14ac:dyDescent="0.2">
      <c r="A156" s="12">
        <v>15</v>
      </c>
      <c r="B156" s="17" t="s">
        <v>361</v>
      </c>
    </row>
    <row r="157" spans="1:2" s="62" customFormat="1" x14ac:dyDescent="0.2">
      <c r="A157" s="12">
        <v>16</v>
      </c>
      <c r="B157" s="17" t="s">
        <v>231</v>
      </c>
    </row>
    <row r="158" spans="1:2" s="62" customFormat="1" x14ac:dyDescent="0.2">
      <c r="A158" s="12">
        <v>17</v>
      </c>
      <c r="B158" s="17" t="s">
        <v>232</v>
      </c>
    </row>
    <row r="159" spans="1:2" s="62" customFormat="1" x14ac:dyDescent="0.2">
      <c r="A159" s="12">
        <v>18</v>
      </c>
      <c r="B159" s="17" t="s">
        <v>233</v>
      </c>
    </row>
    <row r="160" spans="1:2" s="62" customFormat="1" x14ac:dyDescent="0.2">
      <c r="A160" s="12">
        <v>19</v>
      </c>
      <c r="B160" s="17" t="s">
        <v>234</v>
      </c>
    </row>
    <row r="161" spans="1:2" s="62" customFormat="1" x14ac:dyDescent="0.2">
      <c r="A161" s="12">
        <v>20</v>
      </c>
      <c r="B161" s="17" t="s">
        <v>235</v>
      </c>
    </row>
    <row r="162" spans="1:2" s="62" customFormat="1" x14ac:dyDescent="0.2">
      <c r="A162" s="12">
        <v>21</v>
      </c>
      <c r="B162" s="17" t="s">
        <v>236</v>
      </c>
    </row>
    <row r="163" spans="1:2" s="62" customFormat="1" x14ac:dyDescent="0.2">
      <c r="A163" s="12">
        <v>22</v>
      </c>
      <c r="B163" s="17" t="s">
        <v>237</v>
      </c>
    </row>
    <row r="164" spans="1:2" s="62" customFormat="1" x14ac:dyDescent="0.2">
      <c r="A164" s="12">
        <v>23</v>
      </c>
      <c r="B164" s="17" t="s">
        <v>238</v>
      </c>
    </row>
    <row r="165" spans="1:2" s="62" customFormat="1" x14ac:dyDescent="0.2">
      <c r="A165" s="12">
        <v>24</v>
      </c>
      <c r="B165" s="17" t="s">
        <v>239</v>
      </c>
    </row>
    <row r="166" spans="1:2" s="62" customFormat="1" x14ac:dyDescent="0.2">
      <c r="A166" s="12">
        <v>25</v>
      </c>
      <c r="B166" s="17" t="s">
        <v>240</v>
      </c>
    </row>
    <row r="167" spans="1:2" s="62" customFormat="1" x14ac:dyDescent="0.2">
      <c r="A167" s="12">
        <v>26</v>
      </c>
      <c r="B167" s="17" t="s">
        <v>355</v>
      </c>
    </row>
    <row r="168" spans="1:2" s="62" customFormat="1" x14ac:dyDescent="0.2">
      <c r="A168" s="12">
        <v>27</v>
      </c>
      <c r="B168" s="17" t="s">
        <v>241</v>
      </c>
    </row>
    <row r="169" spans="1:2" s="62" customFormat="1" x14ac:dyDescent="0.2">
      <c r="A169" s="12">
        <v>28</v>
      </c>
      <c r="B169" s="17" t="s">
        <v>242</v>
      </c>
    </row>
    <row r="170" spans="1:2" s="62" customFormat="1" x14ac:dyDescent="0.2">
      <c r="A170" s="12">
        <v>29</v>
      </c>
      <c r="B170" s="17" t="s">
        <v>243</v>
      </c>
    </row>
    <row r="171" spans="1:2" s="62" customFormat="1" x14ac:dyDescent="0.2">
      <c r="A171" s="12">
        <v>30</v>
      </c>
      <c r="B171" s="17" t="s">
        <v>244</v>
      </c>
    </row>
    <row r="172" spans="1:2" s="62" customFormat="1" x14ac:dyDescent="0.2">
      <c r="A172" s="12">
        <v>31</v>
      </c>
      <c r="B172" s="17" t="s">
        <v>245</v>
      </c>
    </row>
    <row r="173" spans="1:2" s="62" customFormat="1" x14ac:dyDescent="0.2">
      <c r="A173" s="12">
        <v>32</v>
      </c>
      <c r="B173" s="17" t="s">
        <v>246</v>
      </c>
    </row>
    <row r="174" spans="1:2" s="62" customFormat="1" x14ac:dyDescent="0.2">
      <c r="A174" s="12">
        <v>33</v>
      </c>
      <c r="B174" s="17" t="s">
        <v>247</v>
      </c>
    </row>
    <row r="175" spans="1:2" s="62" customFormat="1" x14ac:dyDescent="0.2">
      <c r="A175" s="12">
        <v>34</v>
      </c>
      <c r="B175" s="17" t="s">
        <v>362</v>
      </c>
    </row>
    <row r="176" spans="1:2" s="62" customFormat="1" x14ac:dyDescent="0.2">
      <c r="A176" s="12">
        <v>35</v>
      </c>
      <c r="B176" s="17" t="s">
        <v>248</v>
      </c>
    </row>
    <row r="177" spans="1:2" s="62" customFormat="1" x14ac:dyDescent="0.2">
      <c r="A177" s="12">
        <v>36</v>
      </c>
      <c r="B177" s="17" t="s">
        <v>249</v>
      </c>
    </row>
    <row r="178" spans="1:2" s="62" customFormat="1" x14ac:dyDescent="0.2">
      <c r="A178" s="12">
        <v>37</v>
      </c>
      <c r="B178" s="17" t="s">
        <v>250</v>
      </c>
    </row>
    <row r="179" spans="1:2" s="62" customFormat="1" x14ac:dyDescent="0.2">
      <c r="A179" s="12">
        <v>38</v>
      </c>
      <c r="B179" s="17" t="s">
        <v>251</v>
      </c>
    </row>
    <row r="180" spans="1:2" s="62" customFormat="1" x14ac:dyDescent="0.2">
      <c r="A180" s="12">
        <v>39</v>
      </c>
      <c r="B180" s="17" t="s">
        <v>252</v>
      </c>
    </row>
    <row r="181" spans="1:2" s="62" customFormat="1" x14ac:dyDescent="0.2">
      <c r="A181" s="12">
        <v>40</v>
      </c>
      <c r="B181" s="17" t="s">
        <v>253</v>
      </c>
    </row>
    <row r="182" spans="1:2" s="62" customFormat="1" x14ac:dyDescent="0.2">
      <c r="A182" s="12">
        <v>41</v>
      </c>
      <c r="B182" s="17" t="s">
        <v>254</v>
      </c>
    </row>
    <row r="183" spans="1:2" s="62" customFormat="1" x14ac:dyDescent="0.2">
      <c r="A183" s="12"/>
      <c r="B183" s="17"/>
    </row>
    <row r="184" spans="1:2" s="62" customFormat="1" x14ac:dyDescent="0.2">
      <c r="A184" s="12"/>
      <c r="B184" s="60" t="s">
        <v>388</v>
      </c>
    </row>
    <row r="186" spans="1:2" x14ac:dyDescent="0.2">
      <c r="B186" s="72" t="s">
        <v>255</v>
      </c>
    </row>
    <row r="187" spans="1:2" s="62" customFormat="1" x14ac:dyDescent="0.2">
      <c r="A187" s="12">
        <v>1</v>
      </c>
      <c r="B187" s="71" t="s">
        <v>256</v>
      </c>
    </row>
    <row r="188" spans="1:2" s="62" customFormat="1" x14ac:dyDescent="0.2">
      <c r="A188" s="12">
        <v>2</v>
      </c>
      <c r="B188" s="71" t="s">
        <v>257</v>
      </c>
    </row>
    <row r="189" spans="1:2" s="62" customFormat="1" x14ac:dyDescent="0.2">
      <c r="A189" s="12">
        <v>3</v>
      </c>
      <c r="B189" s="71" t="s">
        <v>31</v>
      </c>
    </row>
    <row r="190" spans="1:2" s="62" customFormat="1" x14ac:dyDescent="0.2">
      <c r="A190" s="12">
        <v>4</v>
      </c>
      <c r="B190" s="71" t="s">
        <v>258</v>
      </c>
    </row>
    <row r="191" spans="1:2" s="62" customFormat="1" x14ac:dyDescent="0.2">
      <c r="A191" s="12">
        <v>5</v>
      </c>
      <c r="B191" s="71" t="s">
        <v>259</v>
      </c>
    </row>
    <row r="192" spans="1:2" s="62" customFormat="1" x14ac:dyDescent="0.2">
      <c r="A192" s="12">
        <v>6</v>
      </c>
      <c r="B192" s="71" t="s">
        <v>260</v>
      </c>
    </row>
    <row r="193" spans="1:2" s="62" customFormat="1" x14ac:dyDescent="0.2">
      <c r="A193" s="12">
        <v>7</v>
      </c>
      <c r="B193" s="71" t="s">
        <v>364</v>
      </c>
    </row>
    <row r="194" spans="1:2" s="62" customFormat="1" x14ac:dyDescent="0.2">
      <c r="A194" s="12">
        <v>8</v>
      </c>
      <c r="B194" s="71" t="s">
        <v>32</v>
      </c>
    </row>
    <row r="195" spans="1:2" s="62" customFormat="1" x14ac:dyDescent="0.2">
      <c r="A195" s="12">
        <v>9</v>
      </c>
      <c r="B195" s="71" t="s">
        <v>261</v>
      </c>
    </row>
    <row r="196" spans="1:2" s="62" customFormat="1" ht="24" x14ac:dyDescent="0.2">
      <c r="A196" s="12">
        <v>10</v>
      </c>
      <c r="B196" s="73" t="s">
        <v>262</v>
      </c>
    </row>
    <row r="197" spans="1:2" s="62" customFormat="1" x14ac:dyDescent="0.2">
      <c r="A197" s="12">
        <v>11</v>
      </c>
      <c r="B197" s="71" t="s">
        <v>365</v>
      </c>
    </row>
    <row r="198" spans="1:2" s="62" customFormat="1" x14ac:dyDescent="0.2">
      <c r="A198" s="12">
        <v>12</v>
      </c>
      <c r="B198" s="71" t="s">
        <v>366</v>
      </c>
    </row>
    <row r="199" spans="1:2" s="62" customFormat="1" x14ac:dyDescent="0.2">
      <c r="A199" s="12">
        <v>13</v>
      </c>
      <c r="B199" s="71" t="s">
        <v>263</v>
      </c>
    </row>
    <row r="200" spans="1:2" s="62" customFormat="1" x14ac:dyDescent="0.2">
      <c r="A200" s="12">
        <v>14</v>
      </c>
      <c r="B200" s="71" t="s">
        <v>264</v>
      </c>
    </row>
    <row r="201" spans="1:2" s="62" customFormat="1" x14ac:dyDescent="0.2">
      <c r="A201" s="12">
        <v>15</v>
      </c>
      <c r="B201" s="71" t="s">
        <v>265</v>
      </c>
    </row>
    <row r="202" spans="1:2" s="62" customFormat="1" x14ac:dyDescent="0.2">
      <c r="A202" s="12">
        <v>16</v>
      </c>
      <c r="B202" s="71" t="s">
        <v>266</v>
      </c>
    </row>
    <row r="203" spans="1:2" s="62" customFormat="1" x14ac:dyDescent="0.2">
      <c r="A203" s="12">
        <v>17</v>
      </c>
      <c r="B203" s="71" t="s">
        <v>267</v>
      </c>
    </row>
    <row r="204" spans="1:2" s="62" customFormat="1" x14ac:dyDescent="0.2">
      <c r="A204" s="12">
        <v>18</v>
      </c>
      <c r="B204" s="71" t="s">
        <v>29</v>
      </c>
    </row>
    <row r="205" spans="1:2" s="62" customFormat="1" x14ac:dyDescent="0.2">
      <c r="A205" s="12">
        <v>19</v>
      </c>
      <c r="B205" s="71" t="s">
        <v>268</v>
      </c>
    </row>
    <row r="206" spans="1:2" s="62" customFormat="1" x14ac:dyDescent="0.2">
      <c r="A206" s="12">
        <v>20</v>
      </c>
      <c r="B206" s="71" t="s">
        <v>269</v>
      </c>
    </row>
    <row r="207" spans="1:2" s="62" customFormat="1" x14ac:dyDescent="0.2">
      <c r="A207" s="12">
        <v>21</v>
      </c>
      <c r="B207" s="71" t="s">
        <v>270</v>
      </c>
    </row>
    <row r="208" spans="1:2" x14ac:dyDescent="0.2">
      <c r="B208" s="74"/>
    </row>
    <row r="209" spans="1:9" x14ac:dyDescent="0.2">
      <c r="B209" s="72" t="s">
        <v>272</v>
      </c>
    </row>
    <row r="210" spans="1:9" s="62" customFormat="1" x14ac:dyDescent="0.2">
      <c r="A210" s="12">
        <v>1</v>
      </c>
      <c r="B210" s="71" t="s">
        <v>273</v>
      </c>
      <c r="C210" s="67"/>
      <c r="D210" s="12"/>
      <c r="E210" s="12"/>
      <c r="F210" s="12"/>
      <c r="G210" s="12"/>
      <c r="H210" s="68"/>
      <c r="I210" s="68"/>
    </row>
    <row r="211" spans="1:9" s="62" customFormat="1" x14ac:dyDescent="0.2">
      <c r="A211" s="12">
        <v>2</v>
      </c>
      <c r="B211" s="71" t="s">
        <v>274</v>
      </c>
      <c r="C211" s="67"/>
      <c r="D211" s="12"/>
      <c r="E211" s="12"/>
      <c r="F211" s="12"/>
      <c r="G211" s="12"/>
      <c r="H211" s="68"/>
      <c r="I211" s="68"/>
    </row>
    <row r="212" spans="1:9" s="62" customFormat="1" x14ac:dyDescent="0.2">
      <c r="A212" s="12">
        <v>3</v>
      </c>
      <c r="B212" s="71" t="s">
        <v>275</v>
      </c>
      <c r="C212" s="67"/>
      <c r="D212" s="12"/>
      <c r="E212" s="12"/>
      <c r="F212" s="12"/>
      <c r="G212" s="12"/>
      <c r="H212" s="68"/>
      <c r="I212" s="68"/>
    </row>
    <row r="213" spans="1:9" s="62" customFormat="1" x14ac:dyDescent="0.2">
      <c r="A213" s="12">
        <v>4</v>
      </c>
      <c r="B213" s="71" t="s">
        <v>276</v>
      </c>
      <c r="C213" s="67"/>
      <c r="D213" s="12"/>
      <c r="E213" s="12"/>
      <c r="F213" s="12"/>
      <c r="G213" s="12"/>
      <c r="H213" s="68"/>
      <c r="I213" s="68"/>
    </row>
    <row r="214" spans="1:9" s="62" customFormat="1" x14ac:dyDescent="0.2">
      <c r="A214" s="12">
        <v>5</v>
      </c>
      <c r="B214" s="71" t="s">
        <v>277</v>
      </c>
      <c r="C214" s="67"/>
      <c r="D214" s="12"/>
      <c r="E214" s="12"/>
      <c r="F214" s="12"/>
      <c r="G214" s="12"/>
      <c r="H214" s="68"/>
      <c r="I214" s="68"/>
    </row>
    <row r="215" spans="1:9" s="62" customFormat="1" x14ac:dyDescent="0.2">
      <c r="A215" s="12">
        <v>6</v>
      </c>
      <c r="B215" s="71" t="s">
        <v>278</v>
      </c>
      <c r="C215" s="67"/>
      <c r="D215" s="12"/>
      <c r="E215" s="12"/>
      <c r="F215" s="12"/>
      <c r="G215" s="12"/>
      <c r="H215" s="68"/>
      <c r="I215" s="68"/>
    </row>
    <row r="216" spans="1:9" s="62" customFormat="1" x14ac:dyDescent="0.2">
      <c r="A216" s="12">
        <v>7</v>
      </c>
      <c r="B216" s="71" t="s">
        <v>279</v>
      </c>
      <c r="C216" s="67"/>
      <c r="D216" s="12"/>
      <c r="E216" s="12"/>
      <c r="F216" s="12"/>
      <c r="G216" s="12"/>
      <c r="H216" s="68"/>
      <c r="I216" s="68"/>
    </row>
    <row r="217" spans="1:9" s="62" customFormat="1" x14ac:dyDescent="0.2">
      <c r="A217" s="12">
        <v>8</v>
      </c>
      <c r="B217" s="71" t="s">
        <v>393</v>
      </c>
      <c r="C217" s="67"/>
      <c r="D217" s="12"/>
      <c r="E217" s="12"/>
      <c r="F217" s="12"/>
      <c r="G217" s="12"/>
      <c r="H217" s="68"/>
      <c r="I217" s="68"/>
    </row>
    <row r="218" spans="1:9" s="62" customFormat="1" x14ac:dyDescent="0.2">
      <c r="A218" s="12">
        <v>9</v>
      </c>
      <c r="B218" s="71" t="s">
        <v>280</v>
      </c>
      <c r="C218" s="67"/>
      <c r="D218" s="12"/>
      <c r="E218" s="12"/>
      <c r="F218" s="12"/>
      <c r="G218" s="12"/>
      <c r="H218" s="68"/>
      <c r="I218" s="68"/>
    </row>
    <row r="219" spans="1:9" s="62" customFormat="1" x14ac:dyDescent="0.2">
      <c r="B219" s="75"/>
    </row>
    <row r="220" spans="1:9" s="62" customFormat="1" x14ac:dyDescent="0.2">
      <c r="B220" s="76" t="s">
        <v>281</v>
      </c>
    </row>
    <row r="221" spans="1:9" s="62" customFormat="1" x14ac:dyDescent="0.2">
      <c r="A221" s="12">
        <v>1</v>
      </c>
      <c r="B221" s="71" t="s">
        <v>400</v>
      </c>
    </row>
    <row r="222" spans="1:9" s="62" customFormat="1" x14ac:dyDescent="0.2">
      <c r="A222" s="12">
        <v>2</v>
      </c>
      <c r="B222" s="71" t="s">
        <v>282</v>
      </c>
    </row>
    <row r="223" spans="1:9" s="62" customFormat="1" x14ac:dyDescent="0.2">
      <c r="A223" s="12">
        <v>3</v>
      </c>
      <c r="B223" s="71" t="s">
        <v>283</v>
      </c>
    </row>
    <row r="224" spans="1:9" s="62" customFormat="1" x14ac:dyDescent="0.2">
      <c r="A224" s="12">
        <v>4</v>
      </c>
      <c r="B224" s="71" t="s">
        <v>284</v>
      </c>
    </row>
    <row r="225" spans="1:2" s="62" customFormat="1" x14ac:dyDescent="0.2">
      <c r="A225" s="12">
        <v>5</v>
      </c>
      <c r="B225" s="71" t="s">
        <v>285</v>
      </c>
    </row>
    <row r="226" spans="1:2" s="62" customFormat="1" x14ac:dyDescent="0.2">
      <c r="A226" s="12">
        <v>6</v>
      </c>
      <c r="B226" s="71" t="s">
        <v>340</v>
      </c>
    </row>
    <row r="227" spans="1:2" s="62" customFormat="1" x14ac:dyDescent="0.2">
      <c r="A227" s="12">
        <v>7</v>
      </c>
      <c r="B227" s="71" t="s">
        <v>286</v>
      </c>
    </row>
    <row r="228" spans="1:2" s="62" customFormat="1" x14ac:dyDescent="0.2">
      <c r="A228" s="12">
        <v>8</v>
      </c>
      <c r="B228" s="71" t="s">
        <v>287</v>
      </c>
    </row>
    <row r="229" spans="1:2" s="62" customFormat="1" x14ac:dyDescent="0.2">
      <c r="A229" s="12">
        <v>9</v>
      </c>
      <c r="B229" s="71" t="s">
        <v>288</v>
      </c>
    </row>
    <row r="230" spans="1:2" s="62" customFormat="1" x14ac:dyDescent="0.2">
      <c r="A230" s="12">
        <v>10</v>
      </c>
      <c r="B230" s="71" t="s">
        <v>289</v>
      </c>
    </row>
    <row r="231" spans="1:2" s="62" customFormat="1" x14ac:dyDescent="0.2">
      <c r="A231" s="12">
        <v>11</v>
      </c>
      <c r="B231" s="71" t="s">
        <v>290</v>
      </c>
    </row>
    <row r="232" spans="1:2" s="62" customFormat="1" x14ac:dyDescent="0.2">
      <c r="A232" s="12">
        <v>12</v>
      </c>
      <c r="B232" s="71" t="s">
        <v>291</v>
      </c>
    </row>
    <row r="233" spans="1:2" s="62" customFormat="1" x14ac:dyDescent="0.2">
      <c r="A233" s="12">
        <v>13</v>
      </c>
      <c r="B233" s="71" t="s">
        <v>293</v>
      </c>
    </row>
    <row r="234" spans="1:2" s="62" customFormat="1" x14ac:dyDescent="0.2">
      <c r="A234" s="12">
        <v>14</v>
      </c>
      <c r="B234" s="71" t="s">
        <v>294</v>
      </c>
    </row>
    <row r="235" spans="1:2" s="62" customFormat="1" x14ac:dyDescent="0.2">
      <c r="A235" s="12">
        <v>15</v>
      </c>
      <c r="B235" s="71" t="s">
        <v>295</v>
      </c>
    </row>
    <row r="236" spans="1:2" s="62" customFormat="1" x14ac:dyDescent="0.2">
      <c r="A236" s="12">
        <v>16</v>
      </c>
      <c r="B236" s="71" t="s">
        <v>296</v>
      </c>
    </row>
    <row r="237" spans="1:2" s="62" customFormat="1" x14ac:dyDescent="0.2">
      <c r="A237" s="12">
        <v>17</v>
      </c>
      <c r="B237" s="71" t="s">
        <v>339</v>
      </c>
    </row>
    <row r="238" spans="1:2" s="62" customFormat="1" x14ac:dyDescent="0.2">
      <c r="A238" s="12">
        <v>18</v>
      </c>
      <c r="B238" s="71" t="s">
        <v>297</v>
      </c>
    </row>
    <row r="239" spans="1:2" s="62" customFormat="1" x14ac:dyDescent="0.2">
      <c r="A239" s="12">
        <v>19</v>
      </c>
      <c r="B239" s="71" t="s">
        <v>298</v>
      </c>
    </row>
    <row r="240" spans="1:2" s="62" customFormat="1" x14ac:dyDescent="0.2">
      <c r="B240" s="12"/>
    </row>
    <row r="241" spans="1:4" x14ac:dyDescent="0.2">
      <c r="A241" s="59"/>
      <c r="B241" s="60" t="s">
        <v>387</v>
      </c>
      <c r="C241" s="61"/>
      <c r="D241" s="51"/>
    </row>
    <row r="242" spans="1:4" x14ac:dyDescent="0.2">
      <c r="A242" s="59"/>
      <c r="B242" s="60"/>
      <c r="C242" s="60"/>
      <c r="D242" s="51"/>
    </row>
    <row r="243" spans="1:4" x14ac:dyDescent="0.2">
      <c r="A243" s="59"/>
      <c r="B243" s="69" t="s">
        <v>6</v>
      </c>
      <c r="C243" s="60"/>
      <c r="D243" s="51"/>
    </row>
    <row r="244" spans="1:4" s="62" customFormat="1" x14ac:dyDescent="0.2">
      <c r="A244" s="12">
        <v>1</v>
      </c>
      <c r="B244" s="17" t="s">
        <v>7</v>
      </c>
    </row>
    <row r="245" spans="1:4" s="62" customFormat="1" ht="15" customHeight="1" x14ac:dyDescent="0.2">
      <c r="A245" s="12">
        <v>2</v>
      </c>
      <c r="B245" s="17" t="s">
        <v>8</v>
      </c>
    </row>
    <row r="246" spans="1:4" s="62" customFormat="1" ht="15" customHeight="1" x14ac:dyDescent="0.2">
      <c r="A246" s="12">
        <v>3</v>
      </c>
      <c r="B246" s="17" t="s">
        <v>345</v>
      </c>
    </row>
    <row r="247" spans="1:4" s="62" customFormat="1" x14ac:dyDescent="0.2">
      <c r="A247" s="12">
        <v>4</v>
      </c>
      <c r="B247" s="27" t="s">
        <v>9</v>
      </c>
    </row>
    <row r="248" spans="1:4" s="62" customFormat="1" x14ac:dyDescent="0.2">
      <c r="A248" s="12">
        <v>5</v>
      </c>
      <c r="B248" s="17" t="s">
        <v>10</v>
      </c>
    </row>
    <row r="249" spans="1:4" s="62" customFormat="1" x14ac:dyDescent="0.2">
      <c r="A249" s="12">
        <v>6</v>
      </c>
      <c r="B249" s="17" t="s">
        <v>11</v>
      </c>
    </row>
    <row r="251" spans="1:4" x14ac:dyDescent="0.2">
      <c r="B251" s="69" t="s">
        <v>0</v>
      </c>
    </row>
    <row r="252" spans="1:4" s="62" customFormat="1" x14ac:dyDescent="0.2">
      <c r="A252" s="12">
        <v>1</v>
      </c>
      <c r="B252" s="17" t="s">
        <v>1</v>
      </c>
    </row>
    <row r="253" spans="1:4" s="62" customFormat="1" x14ac:dyDescent="0.2">
      <c r="A253" s="12">
        <v>2</v>
      </c>
      <c r="B253" s="17" t="s">
        <v>2</v>
      </c>
    </row>
    <row r="254" spans="1:4" s="62" customFormat="1" x14ac:dyDescent="0.2">
      <c r="A254" s="12">
        <v>3</v>
      </c>
      <c r="B254" s="17" t="s">
        <v>3</v>
      </c>
    </row>
    <row r="255" spans="1:4" s="62" customFormat="1" x14ac:dyDescent="0.2">
      <c r="A255" s="12">
        <v>4</v>
      </c>
      <c r="B255" s="17" t="s">
        <v>4</v>
      </c>
    </row>
    <row r="256" spans="1:4" s="62" customFormat="1" x14ac:dyDescent="0.2">
      <c r="A256" s="12">
        <v>5</v>
      </c>
      <c r="B256" s="17" t="s">
        <v>5</v>
      </c>
    </row>
    <row r="257" spans="1:2" s="62" customFormat="1" x14ac:dyDescent="0.2">
      <c r="B257" s="12"/>
    </row>
    <row r="258" spans="1:2" x14ac:dyDescent="0.2">
      <c r="B258" s="69" t="s">
        <v>171</v>
      </c>
    </row>
    <row r="259" spans="1:2" s="62" customFormat="1" x14ac:dyDescent="0.2">
      <c r="A259" s="12">
        <v>1</v>
      </c>
      <c r="B259" s="17" t="s">
        <v>172</v>
      </c>
    </row>
    <row r="260" spans="1:2" s="62" customFormat="1" x14ac:dyDescent="0.2">
      <c r="A260" s="12">
        <v>2</v>
      </c>
      <c r="B260" s="17" t="s">
        <v>173</v>
      </c>
    </row>
    <row r="261" spans="1:2" s="62" customFormat="1" ht="15" customHeight="1" x14ac:dyDescent="0.2">
      <c r="A261" s="12">
        <v>3</v>
      </c>
      <c r="B261" s="17" t="s">
        <v>174</v>
      </c>
    </row>
    <row r="262" spans="1:2" s="62" customFormat="1" ht="15" customHeight="1" x14ac:dyDescent="0.2">
      <c r="A262" s="12">
        <v>4</v>
      </c>
      <c r="B262" s="17" t="s">
        <v>175</v>
      </c>
    </row>
    <row r="263" spans="1:2" s="62" customFormat="1" x14ac:dyDescent="0.2">
      <c r="A263" s="44">
        <v>5</v>
      </c>
      <c r="B263" s="17" t="s">
        <v>176</v>
      </c>
    </row>
    <row r="264" spans="1:2" s="62" customFormat="1" x14ac:dyDescent="0.2">
      <c r="B264" s="12"/>
    </row>
    <row r="265" spans="1:2" s="62" customFormat="1" x14ac:dyDescent="0.2">
      <c r="B265" s="69" t="s">
        <v>100</v>
      </c>
    </row>
    <row r="266" spans="1:2" s="62" customFormat="1" x14ac:dyDescent="0.2">
      <c r="A266" s="12">
        <v>1</v>
      </c>
      <c r="B266" s="17" t="s">
        <v>101</v>
      </c>
    </row>
    <row r="267" spans="1:2" s="62" customFormat="1" x14ac:dyDescent="0.2">
      <c r="A267" s="12">
        <v>2</v>
      </c>
      <c r="B267" s="17" t="s">
        <v>102</v>
      </c>
    </row>
    <row r="268" spans="1:2" s="62" customFormat="1" x14ac:dyDescent="0.2">
      <c r="A268" s="12">
        <v>3</v>
      </c>
      <c r="B268" s="17" t="s">
        <v>103</v>
      </c>
    </row>
    <row r="269" spans="1:2" s="62" customFormat="1" x14ac:dyDescent="0.2">
      <c r="A269" s="12">
        <v>4</v>
      </c>
      <c r="B269" s="17" t="s">
        <v>104</v>
      </c>
    </row>
    <row r="270" spans="1:2" s="62" customFormat="1" x14ac:dyDescent="0.2">
      <c r="A270" s="12">
        <v>5</v>
      </c>
      <c r="B270" s="17" t="s">
        <v>105</v>
      </c>
    </row>
    <row r="271" spans="1:2" s="62" customFormat="1" x14ac:dyDescent="0.2">
      <c r="A271" s="12">
        <v>6</v>
      </c>
      <c r="B271" s="17" t="s">
        <v>106</v>
      </c>
    </row>
    <row r="272" spans="1:2" s="62" customFormat="1" x14ac:dyDescent="0.2">
      <c r="A272" s="12">
        <v>7</v>
      </c>
      <c r="B272" s="17" t="s">
        <v>107</v>
      </c>
    </row>
    <row r="273" spans="1:4" s="62" customFormat="1" x14ac:dyDescent="0.2">
      <c r="A273" s="12">
        <v>8</v>
      </c>
      <c r="B273" s="17" t="s">
        <v>108</v>
      </c>
    </row>
    <row r="274" spans="1:4" s="62" customFormat="1" x14ac:dyDescent="0.2">
      <c r="A274" s="12">
        <v>9</v>
      </c>
      <c r="B274" s="17" t="s">
        <v>109</v>
      </c>
    </row>
    <row r="275" spans="1:4" s="62" customFormat="1" x14ac:dyDescent="0.2">
      <c r="A275" s="12">
        <v>10</v>
      </c>
      <c r="B275" s="17" t="s">
        <v>110</v>
      </c>
    </row>
    <row r="276" spans="1:4" s="62" customFormat="1" x14ac:dyDescent="0.2">
      <c r="A276" s="12">
        <v>11</v>
      </c>
      <c r="B276" s="17" t="s">
        <v>111</v>
      </c>
    </row>
    <row r="277" spans="1:4" s="62" customFormat="1" x14ac:dyDescent="0.2">
      <c r="A277" s="12">
        <v>12</v>
      </c>
      <c r="B277" s="17" t="s">
        <v>344</v>
      </c>
    </row>
    <row r="278" spans="1:4" x14ac:dyDescent="0.2">
      <c r="C278" s="106"/>
      <c r="D278" s="106"/>
    </row>
    <row r="279" spans="1:4" x14ac:dyDescent="0.2">
      <c r="A279" s="59"/>
      <c r="B279" s="60" t="s">
        <v>386</v>
      </c>
      <c r="C279" s="61"/>
      <c r="D279" s="51"/>
    </row>
    <row r="280" spans="1:4" x14ac:dyDescent="0.2">
      <c r="B280" s="63"/>
      <c r="C280" s="70"/>
      <c r="D280" s="70"/>
    </row>
    <row r="281" spans="1:4" ht="15.75" customHeight="1" x14ac:dyDescent="0.2">
      <c r="B281" s="69" t="s">
        <v>22</v>
      </c>
    </row>
    <row r="282" spans="1:4" ht="15" customHeight="1" x14ac:dyDescent="0.2">
      <c r="A282" s="12">
        <v>1</v>
      </c>
      <c r="B282" s="17" t="s">
        <v>17</v>
      </c>
    </row>
    <row r="283" spans="1:4" x14ac:dyDescent="0.2">
      <c r="A283" s="12">
        <f>+A282+1</f>
        <v>2</v>
      </c>
      <c r="B283" s="17" t="s">
        <v>18</v>
      </c>
    </row>
    <row r="284" spans="1:4" x14ac:dyDescent="0.2">
      <c r="A284" s="12">
        <f>+A283+1</f>
        <v>3</v>
      </c>
      <c r="B284" s="17" t="s">
        <v>19</v>
      </c>
    </row>
    <row r="285" spans="1:4" x14ac:dyDescent="0.2">
      <c r="A285" s="12">
        <f>+A284+1</f>
        <v>4</v>
      </c>
      <c r="B285" s="17" t="s">
        <v>20</v>
      </c>
    </row>
    <row r="286" spans="1:4" x14ac:dyDescent="0.2">
      <c r="A286" s="12">
        <f>+A285+1</f>
        <v>5</v>
      </c>
      <c r="B286" s="17" t="s">
        <v>21</v>
      </c>
    </row>
    <row r="288" spans="1:4" x14ac:dyDescent="0.2">
      <c r="B288" s="69" t="s">
        <v>395</v>
      </c>
    </row>
    <row r="289" spans="1:2" x14ac:dyDescent="0.2">
      <c r="A289" s="12">
        <v>1</v>
      </c>
      <c r="B289" s="17" t="s">
        <v>133</v>
      </c>
    </row>
    <row r="290" spans="1:2" x14ac:dyDescent="0.2">
      <c r="A290" s="12">
        <f>+A289+1</f>
        <v>2</v>
      </c>
      <c r="B290" s="17" t="s">
        <v>134</v>
      </c>
    </row>
    <row r="291" spans="1:2" x14ac:dyDescent="0.2">
      <c r="A291" s="12">
        <f>+A290+1</f>
        <v>3</v>
      </c>
      <c r="B291" s="17" t="s">
        <v>135</v>
      </c>
    </row>
    <row r="292" spans="1:2" x14ac:dyDescent="0.2">
      <c r="A292" s="12">
        <f>+A291+1</f>
        <v>4</v>
      </c>
      <c r="B292" s="17" t="s">
        <v>136</v>
      </c>
    </row>
    <row r="293" spans="1:2" x14ac:dyDescent="0.2">
      <c r="A293" s="12">
        <v>5</v>
      </c>
      <c r="B293" s="17" t="s">
        <v>137</v>
      </c>
    </row>
    <row r="295" spans="1:2" x14ac:dyDescent="0.2">
      <c r="B295" s="69" t="s">
        <v>55</v>
      </c>
    </row>
    <row r="296" spans="1:2" x14ac:dyDescent="0.2">
      <c r="A296" s="12">
        <v>1</v>
      </c>
      <c r="B296" s="17" t="s">
        <v>56</v>
      </c>
    </row>
    <row r="297" spans="1:2" x14ac:dyDescent="0.2">
      <c r="A297" s="12">
        <f>+A296+1</f>
        <v>2</v>
      </c>
      <c r="B297" s="17" t="s">
        <v>57</v>
      </c>
    </row>
    <row r="298" spans="1:2" x14ac:dyDescent="0.2">
      <c r="A298" s="12">
        <f>+A297+1</f>
        <v>3</v>
      </c>
      <c r="B298" s="17" t="s">
        <v>58</v>
      </c>
    </row>
    <row r="299" spans="1:2" x14ac:dyDescent="0.2">
      <c r="A299" s="12">
        <f>+A298+1</f>
        <v>4</v>
      </c>
      <c r="B299" s="17" t="s">
        <v>59</v>
      </c>
    </row>
    <row r="300" spans="1:2" x14ac:dyDescent="0.2">
      <c r="A300" s="12">
        <f>+A299+1</f>
        <v>5</v>
      </c>
      <c r="B300" s="17" t="s">
        <v>60</v>
      </c>
    </row>
    <row r="301" spans="1:2" ht="15" customHeight="1" x14ac:dyDescent="0.2">
      <c r="A301" s="12">
        <f>+A300+1</f>
        <v>6</v>
      </c>
      <c r="B301" s="17" t="s">
        <v>61</v>
      </c>
    </row>
    <row r="302" spans="1:2" x14ac:dyDescent="0.2">
      <c r="A302" s="12">
        <f t="shared" ref="A302:A308" si="0">+A301+1</f>
        <v>7</v>
      </c>
      <c r="B302" s="17" t="s">
        <v>62</v>
      </c>
    </row>
    <row r="303" spans="1:2" x14ac:dyDescent="0.2">
      <c r="A303" s="12">
        <f t="shared" si="0"/>
        <v>8</v>
      </c>
      <c r="B303" s="17" t="s">
        <v>63</v>
      </c>
    </row>
    <row r="304" spans="1:2" x14ac:dyDescent="0.2">
      <c r="A304" s="12">
        <f t="shared" si="0"/>
        <v>9</v>
      </c>
      <c r="B304" s="17" t="s">
        <v>64</v>
      </c>
    </row>
    <row r="305" spans="1:4" x14ac:dyDescent="0.2">
      <c r="A305" s="12">
        <f t="shared" si="0"/>
        <v>10</v>
      </c>
      <c r="B305" s="17" t="s">
        <v>65</v>
      </c>
    </row>
    <row r="306" spans="1:4" x14ac:dyDescent="0.2">
      <c r="A306" s="12">
        <f t="shared" si="0"/>
        <v>11</v>
      </c>
      <c r="B306" s="17" t="s">
        <v>66</v>
      </c>
    </row>
    <row r="307" spans="1:4" x14ac:dyDescent="0.2">
      <c r="A307" s="12">
        <f t="shared" si="0"/>
        <v>12</v>
      </c>
      <c r="B307" s="17" t="s">
        <v>67</v>
      </c>
    </row>
    <row r="308" spans="1:4" x14ac:dyDescent="0.2">
      <c r="A308" s="12">
        <f t="shared" si="0"/>
        <v>13</v>
      </c>
      <c r="B308" s="17" t="s">
        <v>68</v>
      </c>
    </row>
    <row r="310" spans="1:4" x14ac:dyDescent="0.2">
      <c r="A310" s="59"/>
      <c r="B310" s="60" t="s">
        <v>385</v>
      </c>
      <c r="C310" s="61"/>
      <c r="D310" s="51"/>
    </row>
    <row r="312" spans="1:4" x14ac:dyDescent="0.2">
      <c r="B312" s="63" t="s">
        <v>76</v>
      </c>
    </row>
    <row r="313" spans="1:4" x14ac:dyDescent="0.2">
      <c r="A313" s="12">
        <v>1</v>
      </c>
      <c r="B313" s="17" t="s">
        <v>77</v>
      </c>
    </row>
    <row r="314" spans="1:4" x14ac:dyDescent="0.2">
      <c r="A314" s="12">
        <f>+A313+1</f>
        <v>2</v>
      </c>
      <c r="B314" s="17" t="s">
        <v>78</v>
      </c>
    </row>
    <row r="315" spans="1:4" x14ac:dyDescent="0.2">
      <c r="A315" s="12">
        <f t="shared" ref="A315:A320" si="1">+A314+1</f>
        <v>3</v>
      </c>
      <c r="B315" s="17" t="s">
        <v>80</v>
      </c>
    </row>
    <row r="316" spans="1:4" x14ac:dyDescent="0.2">
      <c r="A316" s="12">
        <f t="shared" si="1"/>
        <v>4</v>
      </c>
      <c r="B316" s="17" t="s">
        <v>81</v>
      </c>
    </row>
    <row r="317" spans="1:4" x14ac:dyDescent="0.2">
      <c r="A317" s="12">
        <f t="shared" si="1"/>
        <v>5</v>
      </c>
      <c r="B317" s="17" t="s">
        <v>82</v>
      </c>
    </row>
    <row r="318" spans="1:4" x14ac:dyDescent="0.2">
      <c r="A318" s="12">
        <f t="shared" si="1"/>
        <v>6</v>
      </c>
      <c r="B318" s="17" t="s">
        <v>83</v>
      </c>
    </row>
    <row r="319" spans="1:4" x14ac:dyDescent="0.2">
      <c r="A319" s="12">
        <f t="shared" si="1"/>
        <v>7</v>
      </c>
      <c r="B319" s="17" t="s">
        <v>84</v>
      </c>
    </row>
    <row r="320" spans="1:4" x14ac:dyDescent="0.2">
      <c r="A320" s="12">
        <f t="shared" si="1"/>
        <v>8</v>
      </c>
      <c r="B320" s="17" t="s">
        <v>85</v>
      </c>
    </row>
    <row r="322" spans="1:2" x14ac:dyDescent="0.2">
      <c r="A322" s="12"/>
      <c r="B322" s="63" t="s">
        <v>90</v>
      </c>
    </row>
    <row r="323" spans="1:2" ht="15" customHeight="1" x14ac:dyDescent="0.2">
      <c r="A323" s="12">
        <f>+A322+1</f>
        <v>1</v>
      </c>
      <c r="B323" s="17" t="s">
        <v>91</v>
      </c>
    </row>
    <row r="324" spans="1:2" ht="15" customHeight="1" x14ac:dyDescent="0.2">
      <c r="A324" s="12">
        <f>+A323+1</f>
        <v>2</v>
      </c>
      <c r="B324" s="17" t="s">
        <v>92</v>
      </c>
    </row>
    <row r="325" spans="1:2" x14ac:dyDescent="0.2">
      <c r="A325" s="12">
        <f>+A324+1</f>
        <v>3</v>
      </c>
      <c r="B325" s="17" t="s">
        <v>93</v>
      </c>
    </row>
    <row r="327" spans="1:2" x14ac:dyDescent="0.2">
      <c r="B327" s="63" t="s">
        <v>122</v>
      </c>
    </row>
    <row r="328" spans="1:2" x14ac:dyDescent="0.2">
      <c r="A328" s="12">
        <v>1</v>
      </c>
      <c r="B328" s="17" t="s">
        <v>123</v>
      </c>
    </row>
    <row r="329" spans="1:2" x14ac:dyDescent="0.2">
      <c r="A329" s="12">
        <f>+A328+1</f>
        <v>2</v>
      </c>
      <c r="B329" s="17" t="s">
        <v>124</v>
      </c>
    </row>
    <row r="330" spans="1:2" x14ac:dyDescent="0.2">
      <c r="A330" s="12">
        <f t="shared" ref="A330:A337" si="2">+A329+1</f>
        <v>3</v>
      </c>
      <c r="B330" s="17" t="s">
        <v>125</v>
      </c>
    </row>
    <row r="331" spans="1:2" x14ac:dyDescent="0.2">
      <c r="A331" s="12">
        <f t="shared" si="2"/>
        <v>4</v>
      </c>
      <c r="B331" s="17" t="s">
        <v>126</v>
      </c>
    </row>
    <row r="332" spans="1:2" x14ac:dyDescent="0.2">
      <c r="A332" s="12">
        <f t="shared" si="2"/>
        <v>5</v>
      </c>
      <c r="B332" s="17" t="s">
        <v>127</v>
      </c>
    </row>
    <row r="333" spans="1:2" x14ac:dyDescent="0.2">
      <c r="A333" s="12">
        <f t="shared" si="2"/>
        <v>6</v>
      </c>
      <c r="B333" s="17" t="s">
        <v>128</v>
      </c>
    </row>
    <row r="334" spans="1:2" x14ac:dyDescent="0.2">
      <c r="A334" s="12">
        <f t="shared" si="2"/>
        <v>7</v>
      </c>
      <c r="B334" s="17" t="s">
        <v>349</v>
      </c>
    </row>
    <row r="335" spans="1:2" x14ac:dyDescent="0.2">
      <c r="A335" s="12">
        <f t="shared" si="2"/>
        <v>8</v>
      </c>
      <c r="B335" s="17" t="s">
        <v>129</v>
      </c>
    </row>
    <row r="336" spans="1:2" x14ac:dyDescent="0.2">
      <c r="A336" s="12">
        <f t="shared" si="2"/>
        <v>9</v>
      </c>
      <c r="B336" s="17" t="s">
        <v>130</v>
      </c>
    </row>
    <row r="337" spans="1:4" x14ac:dyDescent="0.2">
      <c r="A337" s="12">
        <f t="shared" si="2"/>
        <v>10</v>
      </c>
      <c r="B337" s="17" t="s">
        <v>131</v>
      </c>
    </row>
    <row r="339" spans="1:4" x14ac:dyDescent="0.2">
      <c r="B339" s="60" t="s">
        <v>383</v>
      </c>
      <c r="C339" s="70"/>
    </row>
    <row r="340" spans="1:4" x14ac:dyDescent="0.2">
      <c r="B340" s="63"/>
    </row>
    <row r="341" spans="1:4" x14ac:dyDescent="0.2">
      <c r="B341" s="63" t="s">
        <v>177</v>
      </c>
      <c r="D341" s="70"/>
    </row>
    <row r="342" spans="1:4" x14ac:dyDescent="0.2">
      <c r="A342" s="12">
        <v>1</v>
      </c>
      <c r="B342" s="17" t="s">
        <v>178</v>
      </c>
    </row>
    <row r="343" spans="1:4" x14ac:dyDescent="0.2">
      <c r="A343" s="12">
        <f>+A342+1</f>
        <v>2</v>
      </c>
      <c r="B343" s="17" t="s">
        <v>179</v>
      </c>
    </row>
    <row r="344" spans="1:4" x14ac:dyDescent="0.2">
      <c r="A344" s="12">
        <f t="shared" ref="A344:A373" si="3">+A343+1</f>
        <v>3</v>
      </c>
      <c r="B344" s="17" t="s">
        <v>180</v>
      </c>
    </row>
    <row r="345" spans="1:4" x14ac:dyDescent="0.2">
      <c r="A345" s="12">
        <f t="shared" si="3"/>
        <v>4</v>
      </c>
      <c r="B345" s="17" t="s">
        <v>181</v>
      </c>
    </row>
    <row r="346" spans="1:4" x14ac:dyDescent="0.2">
      <c r="A346" s="12">
        <f t="shared" si="3"/>
        <v>5</v>
      </c>
      <c r="B346" s="17" t="s">
        <v>182</v>
      </c>
    </row>
    <row r="347" spans="1:4" x14ac:dyDescent="0.2">
      <c r="A347" s="12">
        <f t="shared" si="3"/>
        <v>6</v>
      </c>
      <c r="B347" s="17" t="s">
        <v>183</v>
      </c>
    </row>
    <row r="348" spans="1:4" x14ac:dyDescent="0.2">
      <c r="A348" s="12">
        <f t="shared" si="3"/>
        <v>7</v>
      </c>
      <c r="B348" s="17" t="s">
        <v>184</v>
      </c>
    </row>
    <row r="349" spans="1:4" x14ac:dyDescent="0.2">
      <c r="A349" s="12">
        <f t="shared" si="3"/>
        <v>8</v>
      </c>
      <c r="B349" s="17" t="s">
        <v>185</v>
      </c>
    </row>
    <row r="350" spans="1:4" x14ac:dyDescent="0.2">
      <c r="A350" s="12">
        <f t="shared" si="3"/>
        <v>9</v>
      </c>
      <c r="B350" s="17" t="s">
        <v>186</v>
      </c>
    </row>
    <row r="351" spans="1:4" x14ac:dyDescent="0.2">
      <c r="A351" s="12">
        <f t="shared" si="3"/>
        <v>10</v>
      </c>
      <c r="B351" s="17" t="s">
        <v>187</v>
      </c>
    </row>
    <row r="352" spans="1:4" x14ac:dyDescent="0.2">
      <c r="A352" s="12">
        <f t="shared" si="3"/>
        <v>11</v>
      </c>
      <c r="B352" s="17" t="s">
        <v>188</v>
      </c>
    </row>
    <row r="353" spans="1:2" x14ac:dyDescent="0.2">
      <c r="A353" s="12">
        <f t="shared" si="3"/>
        <v>12</v>
      </c>
      <c r="B353" s="17" t="s">
        <v>189</v>
      </c>
    </row>
    <row r="354" spans="1:2" x14ac:dyDescent="0.2">
      <c r="A354" s="12">
        <f t="shared" si="3"/>
        <v>13</v>
      </c>
      <c r="B354" s="17" t="s">
        <v>190</v>
      </c>
    </row>
    <row r="355" spans="1:2" x14ac:dyDescent="0.2">
      <c r="A355" s="12">
        <f t="shared" si="3"/>
        <v>14</v>
      </c>
      <c r="B355" s="17" t="s">
        <v>191</v>
      </c>
    </row>
    <row r="356" spans="1:2" x14ac:dyDescent="0.2">
      <c r="A356" s="12">
        <f t="shared" si="3"/>
        <v>15</v>
      </c>
      <c r="B356" s="17" t="s">
        <v>192</v>
      </c>
    </row>
    <row r="357" spans="1:2" x14ac:dyDescent="0.2">
      <c r="A357" s="12">
        <f t="shared" si="3"/>
        <v>16</v>
      </c>
      <c r="B357" s="17" t="s">
        <v>193</v>
      </c>
    </row>
    <row r="358" spans="1:2" x14ac:dyDescent="0.2">
      <c r="A358" s="12">
        <f t="shared" si="3"/>
        <v>17</v>
      </c>
      <c r="B358" s="17" t="s">
        <v>194</v>
      </c>
    </row>
    <row r="359" spans="1:2" x14ac:dyDescent="0.2">
      <c r="A359" s="12">
        <f t="shared" si="3"/>
        <v>18</v>
      </c>
      <c r="B359" s="17" t="s">
        <v>195</v>
      </c>
    </row>
    <row r="360" spans="1:2" x14ac:dyDescent="0.2">
      <c r="A360" s="12">
        <f t="shared" si="3"/>
        <v>19</v>
      </c>
      <c r="B360" s="17" t="s">
        <v>196</v>
      </c>
    </row>
    <row r="361" spans="1:2" x14ac:dyDescent="0.2">
      <c r="A361" s="12">
        <f t="shared" si="3"/>
        <v>20</v>
      </c>
      <c r="B361" s="17" t="s">
        <v>197</v>
      </c>
    </row>
    <row r="362" spans="1:2" x14ac:dyDescent="0.2">
      <c r="A362" s="12">
        <f t="shared" si="3"/>
        <v>21</v>
      </c>
      <c r="B362" s="17" t="s">
        <v>198</v>
      </c>
    </row>
    <row r="363" spans="1:2" x14ac:dyDescent="0.2">
      <c r="A363" s="12">
        <f t="shared" si="3"/>
        <v>22</v>
      </c>
      <c r="B363" s="17" t="s">
        <v>199</v>
      </c>
    </row>
    <row r="364" spans="1:2" x14ac:dyDescent="0.2">
      <c r="A364" s="12">
        <f t="shared" si="3"/>
        <v>23</v>
      </c>
      <c r="B364" s="17" t="s">
        <v>200</v>
      </c>
    </row>
    <row r="365" spans="1:2" x14ac:dyDescent="0.2">
      <c r="A365" s="12">
        <f t="shared" si="3"/>
        <v>24</v>
      </c>
      <c r="B365" s="17" t="s">
        <v>201</v>
      </c>
    </row>
    <row r="366" spans="1:2" x14ac:dyDescent="0.2">
      <c r="A366" s="12">
        <f t="shared" si="3"/>
        <v>25</v>
      </c>
      <c r="B366" s="17" t="s">
        <v>403</v>
      </c>
    </row>
    <row r="367" spans="1:2" x14ac:dyDescent="0.2">
      <c r="A367" s="12">
        <f t="shared" si="3"/>
        <v>26</v>
      </c>
      <c r="B367" s="17" t="s">
        <v>203</v>
      </c>
    </row>
    <row r="368" spans="1:2" x14ac:dyDescent="0.2">
      <c r="A368" s="12">
        <f t="shared" si="3"/>
        <v>27</v>
      </c>
      <c r="B368" s="17" t="s">
        <v>204</v>
      </c>
    </row>
    <row r="369" spans="1:4" x14ac:dyDescent="0.2">
      <c r="A369" s="12">
        <f t="shared" si="3"/>
        <v>28</v>
      </c>
      <c r="B369" s="17" t="s">
        <v>205</v>
      </c>
    </row>
    <row r="370" spans="1:4" x14ac:dyDescent="0.2">
      <c r="A370" s="12">
        <f t="shared" si="3"/>
        <v>29</v>
      </c>
      <c r="B370" s="17" t="s">
        <v>206</v>
      </c>
    </row>
    <row r="371" spans="1:4" x14ac:dyDescent="0.2">
      <c r="A371" s="12">
        <f t="shared" si="3"/>
        <v>30</v>
      </c>
      <c r="B371" s="17" t="s">
        <v>27</v>
      </c>
    </row>
    <row r="372" spans="1:4" x14ac:dyDescent="0.2">
      <c r="A372" s="12">
        <f t="shared" si="3"/>
        <v>31</v>
      </c>
      <c r="B372" s="17" t="s">
        <v>207</v>
      </c>
    </row>
    <row r="373" spans="1:4" x14ac:dyDescent="0.2">
      <c r="A373" s="12">
        <f t="shared" si="3"/>
        <v>32</v>
      </c>
      <c r="B373" s="17" t="s">
        <v>208</v>
      </c>
    </row>
    <row r="374" spans="1:4" x14ac:dyDescent="0.2">
      <c r="A374" s="12"/>
      <c r="B374" s="17"/>
    </row>
    <row r="375" spans="1:4" x14ac:dyDescent="0.2">
      <c r="B375" s="60" t="s">
        <v>646</v>
      </c>
      <c r="C375" s="70"/>
    </row>
    <row r="377" spans="1:4" x14ac:dyDescent="0.2">
      <c r="B377" s="63" t="s">
        <v>51</v>
      </c>
      <c r="D377" s="70"/>
    </row>
    <row r="378" spans="1:4" x14ac:dyDescent="0.2">
      <c r="A378" s="12">
        <v>1</v>
      </c>
      <c r="B378" s="17" t="s">
        <v>52</v>
      </c>
    </row>
    <row r="379" spans="1:4" x14ac:dyDescent="0.2">
      <c r="A379" s="12">
        <f>+A378+1</f>
        <v>2</v>
      </c>
      <c r="B379" s="17" t="s">
        <v>53</v>
      </c>
    </row>
    <row r="380" spans="1:4" x14ac:dyDescent="0.2">
      <c r="A380" s="12">
        <f>+A379+1</f>
        <v>3</v>
      </c>
      <c r="B380" s="17" t="s">
        <v>330</v>
      </c>
    </row>
    <row r="381" spans="1:4" x14ac:dyDescent="0.2">
      <c r="A381" s="12">
        <f>+A380+1</f>
        <v>4</v>
      </c>
      <c r="B381" s="17" t="s">
        <v>54</v>
      </c>
    </row>
    <row r="383" spans="1:4" x14ac:dyDescent="0.2">
      <c r="B383" s="63" t="s">
        <v>112</v>
      </c>
    </row>
    <row r="384" spans="1:4" x14ac:dyDescent="0.2">
      <c r="A384" s="12">
        <v>1</v>
      </c>
      <c r="B384" s="17" t="s">
        <v>113</v>
      </c>
    </row>
    <row r="385" spans="1:2" x14ac:dyDescent="0.2">
      <c r="A385" s="12">
        <f>+A384+1</f>
        <v>2</v>
      </c>
      <c r="B385" s="17" t="s">
        <v>114</v>
      </c>
    </row>
    <row r="386" spans="1:2" x14ac:dyDescent="0.2">
      <c r="A386" s="12">
        <f>+A385+1</f>
        <v>3</v>
      </c>
      <c r="B386" s="17" t="s">
        <v>347</v>
      </c>
    </row>
    <row r="387" spans="1:2" x14ac:dyDescent="0.2">
      <c r="A387" s="12">
        <f>+A386+1</f>
        <v>4</v>
      </c>
      <c r="B387" s="17" t="s">
        <v>346</v>
      </c>
    </row>
    <row r="388" spans="1:2" x14ac:dyDescent="0.2">
      <c r="A388" s="12">
        <v>5</v>
      </c>
      <c r="B388" s="17" t="s">
        <v>115</v>
      </c>
    </row>
    <row r="390" spans="1:2" x14ac:dyDescent="0.2">
      <c r="B390" s="63" t="s">
        <v>209</v>
      </c>
    </row>
    <row r="391" spans="1:2" x14ac:dyDescent="0.2">
      <c r="A391" s="12">
        <v>1</v>
      </c>
      <c r="B391" s="17" t="s">
        <v>210</v>
      </c>
    </row>
    <row r="392" spans="1:2" x14ac:dyDescent="0.2">
      <c r="A392" s="12">
        <v>2</v>
      </c>
      <c r="B392" s="17" t="s">
        <v>353</v>
      </c>
    </row>
    <row r="394" spans="1:2" x14ac:dyDescent="0.2">
      <c r="B394" s="63" t="s">
        <v>211</v>
      </c>
    </row>
    <row r="395" spans="1:2" x14ac:dyDescent="0.2">
      <c r="A395" s="12">
        <v>1</v>
      </c>
      <c r="B395" s="17" t="s">
        <v>212</v>
      </c>
    </row>
    <row r="396" spans="1:2" x14ac:dyDescent="0.2">
      <c r="A396" s="12">
        <f>+A395+1</f>
        <v>2</v>
      </c>
      <c r="B396" s="17" t="s">
        <v>213</v>
      </c>
    </row>
    <row r="397" spans="1:2" x14ac:dyDescent="0.2">
      <c r="A397" s="12">
        <f t="shared" ref="A397:A403" si="4">+A396+1</f>
        <v>3</v>
      </c>
      <c r="B397" s="17" t="s">
        <v>354</v>
      </c>
    </row>
    <row r="398" spans="1:2" x14ac:dyDescent="0.2">
      <c r="A398" s="12">
        <f t="shared" si="4"/>
        <v>4</v>
      </c>
      <c r="B398" s="17" t="s">
        <v>214</v>
      </c>
    </row>
    <row r="399" spans="1:2" x14ac:dyDescent="0.2">
      <c r="A399" s="12">
        <f t="shared" si="4"/>
        <v>5</v>
      </c>
      <c r="B399" s="17" t="s">
        <v>215</v>
      </c>
    </row>
    <row r="400" spans="1:2" x14ac:dyDescent="0.2">
      <c r="A400" s="12">
        <f t="shared" si="4"/>
        <v>6</v>
      </c>
      <c r="B400" s="17" t="s">
        <v>216</v>
      </c>
    </row>
    <row r="401" spans="1:2" x14ac:dyDescent="0.2">
      <c r="A401" s="12">
        <f t="shared" si="4"/>
        <v>7</v>
      </c>
      <c r="B401" s="17" t="s">
        <v>217</v>
      </c>
    </row>
    <row r="402" spans="1:2" x14ac:dyDescent="0.2">
      <c r="A402" s="12">
        <f t="shared" si="4"/>
        <v>8</v>
      </c>
      <c r="B402" s="17" t="s">
        <v>219</v>
      </c>
    </row>
    <row r="403" spans="1:2" x14ac:dyDescent="0.2">
      <c r="A403" s="12">
        <f t="shared" si="4"/>
        <v>9</v>
      </c>
      <c r="B403" s="17" t="s">
        <v>220</v>
      </c>
    </row>
    <row r="404" spans="1:2" x14ac:dyDescent="0.2">
      <c r="A404" s="12"/>
      <c r="B404" s="17"/>
    </row>
    <row r="405" spans="1:2" x14ac:dyDescent="0.2">
      <c r="A405" s="12"/>
      <c r="B405" s="17"/>
    </row>
  </sheetData>
  <mergeCells count="1">
    <mergeCell ref="C278:D278"/>
  </mergeCells>
  <pageMargins left="0.7" right="0.7" top="0.75" bottom="0.75" header="0.3" footer="0.3"/>
  <pageSetup scale="98" fitToHeight="0" orientation="portrait" r:id="rId1"/>
  <rowBreaks count="6" manualBreakCount="6">
    <brk id="71" max="1" man="1"/>
    <brk id="127" max="1" man="1"/>
    <brk id="183" max="1" man="1"/>
    <brk id="239" max="1" man="1"/>
    <brk id="294" max="1" man="1"/>
    <brk id="338" max="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F303"/>
  <sheetViews>
    <sheetView tabSelected="1" view="pageBreakPreview" topLeftCell="A10" zoomScale="80" zoomScaleNormal="84" zoomScaleSheetLayoutView="80" workbookViewId="0">
      <selection activeCell="A205" sqref="A205"/>
    </sheetView>
  </sheetViews>
  <sheetFormatPr baseColWidth="10" defaultColWidth="11.42578125" defaultRowHeight="12.75" x14ac:dyDescent="0.25"/>
  <cols>
    <col min="1" max="1" width="11.42578125" style="33"/>
    <col min="2" max="2" width="18.140625" style="31" customWidth="1"/>
    <col min="3" max="4" width="43.140625" style="31" customWidth="1"/>
    <col min="5" max="5" width="14.7109375" style="31" customWidth="1"/>
    <col min="6" max="6" width="36.28515625" style="31" customWidth="1"/>
    <col min="7" max="251" width="11.42578125" style="33"/>
    <col min="252" max="252" width="5.28515625" style="33" customWidth="1"/>
    <col min="253" max="253" width="11.42578125" style="33"/>
    <col min="254" max="254" width="23.5703125" style="33" customWidth="1"/>
    <col min="255" max="255" width="13.28515625" style="33" customWidth="1"/>
    <col min="256" max="256" width="18.140625" style="33" customWidth="1"/>
    <col min="257" max="257" width="22" style="33" customWidth="1"/>
    <col min="258" max="259" width="43.140625" style="33" customWidth="1"/>
    <col min="260" max="260" width="14.7109375" style="33" customWidth="1"/>
    <col min="261" max="261" width="36.28515625" style="33" customWidth="1"/>
    <col min="262" max="262" width="18" style="33" customWidth="1"/>
    <col min="263" max="507" width="11.42578125" style="33"/>
    <col min="508" max="508" width="5.28515625" style="33" customWidth="1"/>
    <col min="509" max="509" width="11.42578125" style="33"/>
    <col min="510" max="510" width="23.5703125" style="33" customWidth="1"/>
    <col min="511" max="511" width="13.28515625" style="33" customWidth="1"/>
    <col min="512" max="512" width="18.140625" style="33" customWidth="1"/>
    <col min="513" max="513" width="22" style="33" customWidth="1"/>
    <col min="514" max="515" width="43.140625" style="33" customWidth="1"/>
    <col min="516" max="516" width="14.7109375" style="33" customWidth="1"/>
    <col min="517" max="517" width="36.28515625" style="33" customWidth="1"/>
    <col min="518" max="518" width="18" style="33" customWidth="1"/>
    <col min="519" max="763" width="11.42578125" style="33"/>
    <col min="764" max="764" width="5.28515625" style="33" customWidth="1"/>
    <col min="765" max="765" width="11.42578125" style="33"/>
    <col min="766" max="766" width="23.5703125" style="33" customWidth="1"/>
    <col min="767" max="767" width="13.28515625" style="33" customWidth="1"/>
    <col min="768" max="768" width="18.140625" style="33" customWidth="1"/>
    <col min="769" max="769" width="22" style="33" customWidth="1"/>
    <col min="770" max="771" width="43.140625" style="33" customWidth="1"/>
    <col min="772" max="772" width="14.7109375" style="33" customWidth="1"/>
    <col min="773" max="773" width="36.28515625" style="33" customWidth="1"/>
    <col min="774" max="774" width="18" style="33" customWidth="1"/>
    <col min="775" max="1019" width="11.42578125" style="33"/>
    <col min="1020" max="1020" width="5.28515625" style="33" customWidth="1"/>
    <col min="1021" max="1021" width="11.42578125" style="33"/>
    <col min="1022" max="1022" width="23.5703125" style="33" customWidth="1"/>
    <col min="1023" max="1023" width="13.28515625" style="33" customWidth="1"/>
    <col min="1024" max="1024" width="18.140625" style="33" customWidth="1"/>
    <col min="1025" max="1025" width="22" style="33" customWidth="1"/>
    <col min="1026" max="1027" width="43.140625" style="33" customWidth="1"/>
    <col min="1028" max="1028" width="14.7109375" style="33" customWidth="1"/>
    <col min="1029" max="1029" width="36.28515625" style="33" customWidth="1"/>
    <col min="1030" max="1030" width="18" style="33" customWidth="1"/>
    <col min="1031" max="1275" width="11.42578125" style="33"/>
    <col min="1276" max="1276" width="5.28515625" style="33" customWidth="1"/>
    <col min="1277" max="1277" width="11.42578125" style="33"/>
    <col min="1278" max="1278" width="23.5703125" style="33" customWidth="1"/>
    <col min="1279" max="1279" width="13.28515625" style="33" customWidth="1"/>
    <col min="1280" max="1280" width="18.140625" style="33" customWidth="1"/>
    <col min="1281" max="1281" width="22" style="33" customWidth="1"/>
    <col min="1282" max="1283" width="43.140625" style="33" customWidth="1"/>
    <col min="1284" max="1284" width="14.7109375" style="33" customWidth="1"/>
    <col min="1285" max="1285" width="36.28515625" style="33" customWidth="1"/>
    <col min="1286" max="1286" width="18" style="33" customWidth="1"/>
    <col min="1287" max="1531" width="11.42578125" style="33"/>
    <col min="1532" max="1532" width="5.28515625" style="33" customWidth="1"/>
    <col min="1533" max="1533" width="11.42578125" style="33"/>
    <col min="1534" max="1534" width="23.5703125" style="33" customWidth="1"/>
    <col min="1535" max="1535" width="13.28515625" style="33" customWidth="1"/>
    <col min="1536" max="1536" width="18.140625" style="33" customWidth="1"/>
    <col min="1537" max="1537" width="22" style="33" customWidth="1"/>
    <col min="1538" max="1539" width="43.140625" style="33" customWidth="1"/>
    <col min="1540" max="1540" width="14.7109375" style="33" customWidth="1"/>
    <col min="1541" max="1541" width="36.28515625" style="33" customWidth="1"/>
    <col min="1542" max="1542" width="18" style="33" customWidth="1"/>
    <col min="1543" max="1787" width="11.42578125" style="33"/>
    <col min="1788" max="1788" width="5.28515625" style="33" customWidth="1"/>
    <col min="1789" max="1789" width="11.42578125" style="33"/>
    <col min="1790" max="1790" width="23.5703125" style="33" customWidth="1"/>
    <col min="1791" max="1791" width="13.28515625" style="33" customWidth="1"/>
    <col min="1792" max="1792" width="18.140625" style="33" customWidth="1"/>
    <col min="1793" max="1793" width="22" style="33" customWidth="1"/>
    <col min="1794" max="1795" width="43.140625" style="33" customWidth="1"/>
    <col min="1796" max="1796" width="14.7109375" style="33" customWidth="1"/>
    <col min="1797" max="1797" width="36.28515625" style="33" customWidth="1"/>
    <col min="1798" max="1798" width="18" style="33" customWidth="1"/>
    <col min="1799" max="2043" width="11.42578125" style="33"/>
    <col min="2044" max="2044" width="5.28515625" style="33" customWidth="1"/>
    <col min="2045" max="2045" width="11.42578125" style="33"/>
    <col min="2046" max="2046" width="23.5703125" style="33" customWidth="1"/>
    <col min="2047" max="2047" width="13.28515625" style="33" customWidth="1"/>
    <col min="2048" max="2048" width="18.140625" style="33" customWidth="1"/>
    <col min="2049" max="2049" width="22" style="33" customWidth="1"/>
    <col min="2050" max="2051" width="43.140625" style="33" customWidth="1"/>
    <col min="2052" max="2052" width="14.7109375" style="33" customWidth="1"/>
    <col min="2053" max="2053" width="36.28515625" style="33" customWidth="1"/>
    <col min="2054" max="2054" width="18" style="33" customWidth="1"/>
    <col min="2055" max="2299" width="11.42578125" style="33"/>
    <col min="2300" max="2300" width="5.28515625" style="33" customWidth="1"/>
    <col min="2301" max="2301" width="11.42578125" style="33"/>
    <col min="2302" max="2302" width="23.5703125" style="33" customWidth="1"/>
    <col min="2303" max="2303" width="13.28515625" style="33" customWidth="1"/>
    <col min="2304" max="2304" width="18.140625" style="33" customWidth="1"/>
    <col min="2305" max="2305" width="22" style="33" customWidth="1"/>
    <col min="2306" max="2307" width="43.140625" style="33" customWidth="1"/>
    <col min="2308" max="2308" width="14.7109375" style="33" customWidth="1"/>
    <col min="2309" max="2309" width="36.28515625" style="33" customWidth="1"/>
    <col min="2310" max="2310" width="18" style="33" customWidth="1"/>
    <col min="2311" max="2555" width="11.42578125" style="33"/>
    <col min="2556" max="2556" width="5.28515625" style="33" customWidth="1"/>
    <col min="2557" max="2557" width="11.42578125" style="33"/>
    <col min="2558" max="2558" width="23.5703125" style="33" customWidth="1"/>
    <col min="2559" max="2559" width="13.28515625" style="33" customWidth="1"/>
    <col min="2560" max="2560" width="18.140625" style="33" customWidth="1"/>
    <col min="2561" max="2561" width="22" style="33" customWidth="1"/>
    <col min="2562" max="2563" width="43.140625" style="33" customWidth="1"/>
    <col min="2564" max="2564" width="14.7109375" style="33" customWidth="1"/>
    <col min="2565" max="2565" width="36.28515625" style="33" customWidth="1"/>
    <col min="2566" max="2566" width="18" style="33" customWidth="1"/>
    <col min="2567" max="2811" width="11.42578125" style="33"/>
    <col min="2812" max="2812" width="5.28515625" style="33" customWidth="1"/>
    <col min="2813" max="2813" width="11.42578125" style="33"/>
    <col min="2814" max="2814" width="23.5703125" style="33" customWidth="1"/>
    <col min="2815" max="2815" width="13.28515625" style="33" customWidth="1"/>
    <col min="2816" max="2816" width="18.140625" style="33" customWidth="1"/>
    <col min="2817" max="2817" width="22" style="33" customWidth="1"/>
    <col min="2818" max="2819" width="43.140625" style="33" customWidth="1"/>
    <col min="2820" max="2820" width="14.7109375" style="33" customWidth="1"/>
    <col min="2821" max="2821" width="36.28515625" style="33" customWidth="1"/>
    <col min="2822" max="2822" width="18" style="33" customWidth="1"/>
    <col min="2823" max="3067" width="11.42578125" style="33"/>
    <col min="3068" max="3068" width="5.28515625" style="33" customWidth="1"/>
    <col min="3069" max="3069" width="11.42578125" style="33"/>
    <col min="3070" max="3070" width="23.5703125" style="33" customWidth="1"/>
    <col min="3071" max="3071" width="13.28515625" style="33" customWidth="1"/>
    <col min="3072" max="3072" width="18.140625" style="33" customWidth="1"/>
    <col min="3073" max="3073" width="22" style="33" customWidth="1"/>
    <col min="3074" max="3075" width="43.140625" style="33" customWidth="1"/>
    <col min="3076" max="3076" width="14.7109375" style="33" customWidth="1"/>
    <col min="3077" max="3077" width="36.28515625" style="33" customWidth="1"/>
    <col min="3078" max="3078" width="18" style="33" customWidth="1"/>
    <col min="3079" max="3323" width="11.42578125" style="33"/>
    <col min="3324" max="3324" width="5.28515625" style="33" customWidth="1"/>
    <col min="3325" max="3325" width="11.42578125" style="33"/>
    <col min="3326" max="3326" width="23.5703125" style="33" customWidth="1"/>
    <col min="3327" max="3327" width="13.28515625" style="33" customWidth="1"/>
    <col min="3328" max="3328" width="18.140625" style="33" customWidth="1"/>
    <col min="3329" max="3329" width="22" style="33" customWidth="1"/>
    <col min="3330" max="3331" width="43.140625" style="33" customWidth="1"/>
    <col min="3332" max="3332" width="14.7109375" style="33" customWidth="1"/>
    <col min="3333" max="3333" width="36.28515625" style="33" customWidth="1"/>
    <col min="3334" max="3334" width="18" style="33" customWidth="1"/>
    <col min="3335" max="3579" width="11.42578125" style="33"/>
    <col min="3580" max="3580" width="5.28515625" style="33" customWidth="1"/>
    <col min="3581" max="3581" width="11.42578125" style="33"/>
    <col min="3582" max="3582" width="23.5703125" style="33" customWidth="1"/>
    <col min="3583" max="3583" width="13.28515625" style="33" customWidth="1"/>
    <col min="3584" max="3584" width="18.140625" style="33" customWidth="1"/>
    <col min="3585" max="3585" width="22" style="33" customWidth="1"/>
    <col min="3586" max="3587" width="43.140625" style="33" customWidth="1"/>
    <col min="3588" max="3588" width="14.7109375" style="33" customWidth="1"/>
    <col min="3589" max="3589" width="36.28515625" style="33" customWidth="1"/>
    <col min="3590" max="3590" width="18" style="33" customWidth="1"/>
    <col min="3591" max="3835" width="11.42578125" style="33"/>
    <col min="3836" max="3836" width="5.28515625" style="33" customWidth="1"/>
    <col min="3837" max="3837" width="11.42578125" style="33"/>
    <col min="3838" max="3838" width="23.5703125" style="33" customWidth="1"/>
    <col min="3839" max="3839" width="13.28515625" style="33" customWidth="1"/>
    <col min="3840" max="3840" width="18.140625" style="33" customWidth="1"/>
    <col min="3841" max="3841" width="22" style="33" customWidth="1"/>
    <col min="3842" max="3843" width="43.140625" style="33" customWidth="1"/>
    <col min="3844" max="3844" width="14.7109375" style="33" customWidth="1"/>
    <col min="3845" max="3845" width="36.28515625" style="33" customWidth="1"/>
    <col min="3846" max="3846" width="18" style="33" customWidth="1"/>
    <col min="3847" max="4091" width="11.42578125" style="33"/>
    <col min="4092" max="4092" width="5.28515625" style="33" customWidth="1"/>
    <col min="4093" max="4093" width="11.42578125" style="33"/>
    <col min="4094" max="4094" width="23.5703125" style="33" customWidth="1"/>
    <col min="4095" max="4095" width="13.28515625" style="33" customWidth="1"/>
    <col min="4096" max="4096" width="18.140625" style="33" customWidth="1"/>
    <col min="4097" max="4097" width="22" style="33" customWidth="1"/>
    <col min="4098" max="4099" width="43.140625" style="33" customWidth="1"/>
    <col min="4100" max="4100" width="14.7109375" style="33" customWidth="1"/>
    <col min="4101" max="4101" width="36.28515625" style="33" customWidth="1"/>
    <col min="4102" max="4102" width="18" style="33" customWidth="1"/>
    <col min="4103" max="4347" width="11.42578125" style="33"/>
    <col min="4348" max="4348" width="5.28515625" style="33" customWidth="1"/>
    <col min="4349" max="4349" width="11.42578125" style="33"/>
    <col min="4350" max="4350" width="23.5703125" style="33" customWidth="1"/>
    <col min="4351" max="4351" width="13.28515625" style="33" customWidth="1"/>
    <col min="4352" max="4352" width="18.140625" style="33" customWidth="1"/>
    <col min="4353" max="4353" width="22" style="33" customWidth="1"/>
    <col min="4354" max="4355" width="43.140625" style="33" customWidth="1"/>
    <col min="4356" max="4356" width="14.7109375" style="33" customWidth="1"/>
    <col min="4357" max="4357" width="36.28515625" style="33" customWidth="1"/>
    <col min="4358" max="4358" width="18" style="33" customWidth="1"/>
    <col min="4359" max="4603" width="11.42578125" style="33"/>
    <col min="4604" max="4604" width="5.28515625" style="33" customWidth="1"/>
    <col min="4605" max="4605" width="11.42578125" style="33"/>
    <col min="4606" max="4606" width="23.5703125" style="33" customWidth="1"/>
    <col min="4607" max="4607" width="13.28515625" style="33" customWidth="1"/>
    <col min="4608" max="4608" width="18.140625" style="33" customWidth="1"/>
    <col min="4609" max="4609" width="22" style="33" customWidth="1"/>
    <col min="4610" max="4611" width="43.140625" style="33" customWidth="1"/>
    <col min="4612" max="4612" width="14.7109375" style="33" customWidth="1"/>
    <col min="4613" max="4613" width="36.28515625" style="33" customWidth="1"/>
    <col min="4614" max="4614" width="18" style="33" customWidth="1"/>
    <col min="4615" max="4859" width="11.42578125" style="33"/>
    <col min="4860" max="4860" width="5.28515625" style="33" customWidth="1"/>
    <col min="4861" max="4861" width="11.42578125" style="33"/>
    <col min="4862" max="4862" width="23.5703125" style="33" customWidth="1"/>
    <col min="4863" max="4863" width="13.28515625" style="33" customWidth="1"/>
    <col min="4864" max="4864" width="18.140625" style="33" customWidth="1"/>
    <col min="4865" max="4865" width="22" style="33" customWidth="1"/>
    <col min="4866" max="4867" width="43.140625" style="33" customWidth="1"/>
    <col min="4868" max="4868" width="14.7109375" style="33" customWidth="1"/>
    <col min="4869" max="4869" width="36.28515625" style="33" customWidth="1"/>
    <col min="4870" max="4870" width="18" style="33" customWidth="1"/>
    <col min="4871" max="5115" width="11.42578125" style="33"/>
    <col min="5116" max="5116" width="5.28515625" style="33" customWidth="1"/>
    <col min="5117" max="5117" width="11.42578125" style="33"/>
    <col min="5118" max="5118" width="23.5703125" style="33" customWidth="1"/>
    <col min="5119" max="5119" width="13.28515625" style="33" customWidth="1"/>
    <col min="5120" max="5120" width="18.140625" style="33" customWidth="1"/>
    <col min="5121" max="5121" width="22" style="33" customWidth="1"/>
    <col min="5122" max="5123" width="43.140625" style="33" customWidth="1"/>
    <col min="5124" max="5124" width="14.7109375" style="33" customWidth="1"/>
    <col min="5125" max="5125" width="36.28515625" style="33" customWidth="1"/>
    <col min="5126" max="5126" width="18" style="33" customWidth="1"/>
    <col min="5127" max="5371" width="11.42578125" style="33"/>
    <col min="5372" max="5372" width="5.28515625" style="33" customWidth="1"/>
    <col min="5373" max="5373" width="11.42578125" style="33"/>
    <col min="5374" max="5374" width="23.5703125" style="33" customWidth="1"/>
    <col min="5375" max="5375" width="13.28515625" style="33" customWidth="1"/>
    <col min="5376" max="5376" width="18.140625" style="33" customWidth="1"/>
    <col min="5377" max="5377" width="22" style="33" customWidth="1"/>
    <col min="5378" max="5379" width="43.140625" style="33" customWidth="1"/>
    <col min="5380" max="5380" width="14.7109375" style="33" customWidth="1"/>
    <col min="5381" max="5381" width="36.28515625" style="33" customWidth="1"/>
    <col min="5382" max="5382" width="18" style="33" customWidth="1"/>
    <col min="5383" max="5627" width="11.42578125" style="33"/>
    <col min="5628" max="5628" width="5.28515625" style="33" customWidth="1"/>
    <col min="5629" max="5629" width="11.42578125" style="33"/>
    <col min="5630" max="5630" width="23.5703125" style="33" customWidth="1"/>
    <col min="5631" max="5631" width="13.28515625" style="33" customWidth="1"/>
    <col min="5632" max="5632" width="18.140625" style="33" customWidth="1"/>
    <col min="5633" max="5633" width="22" style="33" customWidth="1"/>
    <col min="5634" max="5635" width="43.140625" style="33" customWidth="1"/>
    <col min="5636" max="5636" width="14.7109375" style="33" customWidth="1"/>
    <col min="5637" max="5637" width="36.28515625" style="33" customWidth="1"/>
    <col min="5638" max="5638" width="18" style="33" customWidth="1"/>
    <col min="5639" max="5883" width="11.42578125" style="33"/>
    <col min="5884" max="5884" width="5.28515625" style="33" customWidth="1"/>
    <col min="5885" max="5885" width="11.42578125" style="33"/>
    <col min="5886" max="5886" width="23.5703125" style="33" customWidth="1"/>
    <col min="5887" max="5887" width="13.28515625" style="33" customWidth="1"/>
    <col min="5888" max="5888" width="18.140625" style="33" customWidth="1"/>
    <col min="5889" max="5889" width="22" style="33" customWidth="1"/>
    <col min="5890" max="5891" width="43.140625" style="33" customWidth="1"/>
    <col min="5892" max="5892" width="14.7109375" style="33" customWidth="1"/>
    <col min="5893" max="5893" width="36.28515625" style="33" customWidth="1"/>
    <col min="5894" max="5894" width="18" style="33" customWidth="1"/>
    <col min="5895" max="6139" width="11.42578125" style="33"/>
    <col min="6140" max="6140" width="5.28515625" style="33" customWidth="1"/>
    <col min="6141" max="6141" width="11.42578125" style="33"/>
    <col min="6142" max="6142" width="23.5703125" style="33" customWidth="1"/>
    <col min="6143" max="6143" width="13.28515625" style="33" customWidth="1"/>
    <col min="6144" max="6144" width="18.140625" style="33" customWidth="1"/>
    <col min="6145" max="6145" width="22" style="33" customWidth="1"/>
    <col min="6146" max="6147" width="43.140625" style="33" customWidth="1"/>
    <col min="6148" max="6148" width="14.7109375" style="33" customWidth="1"/>
    <col min="6149" max="6149" width="36.28515625" style="33" customWidth="1"/>
    <col min="6150" max="6150" width="18" style="33" customWidth="1"/>
    <col min="6151" max="6395" width="11.42578125" style="33"/>
    <col min="6396" max="6396" width="5.28515625" style="33" customWidth="1"/>
    <col min="6397" max="6397" width="11.42578125" style="33"/>
    <col min="6398" max="6398" width="23.5703125" style="33" customWidth="1"/>
    <col min="6399" max="6399" width="13.28515625" style="33" customWidth="1"/>
    <col min="6400" max="6400" width="18.140625" style="33" customWidth="1"/>
    <col min="6401" max="6401" width="22" style="33" customWidth="1"/>
    <col min="6402" max="6403" width="43.140625" style="33" customWidth="1"/>
    <col min="6404" max="6404" width="14.7109375" style="33" customWidth="1"/>
    <col min="6405" max="6405" width="36.28515625" style="33" customWidth="1"/>
    <col min="6406" max="6406" width="18" style="33" customWidth="1"/>
    <col min="6407" max="6651" width="11.42578125" style="33"/>
    <col min="6652" max="6652" width="5.28515625" style="33" customWidth="1"/>
    <col min="6653" max="6653" width="11.42578125" style="33"/>
    <col min="6654" max="6654" width="23.5703125" style="33" customWidth="1"/>
    <col min="6655" max="6655" width="13.28515625" style="33" customWidth="1"/>
    <col min="6656" max="6656" width="18.140625" style="33" customWidth="1"/>
    <col min="6657" max="6657" width="22" style="33" customWidth="1"/>
    <col min="6658" max="6659" width="43.140625" style="33" customWidth="1"/>
    <col min="6660" max="6660" width="14.7109375" style="33" customWidth="1"/>
    <col min="6661" max="6661" width="36.28515625" style="33" customWidth="1"/>
    <col min="6662" max="6662" width="18" style="33" customWidth="1"/>
    <col min="6663" max="6907" width="11.42578125" style="33"/>
    <col min="6908" max="6908" width="5.28515625" style="33" customWidth="1"/>
    <col min="6909" max="6909" width="11.42578125" style="33"/>
    <col min="6910" max="6910" width="23.5703125" style="33" customWidth="1"/>
    <col min="6911" max="6911" width="13.28515625" style="33" customWidth="1"/>
    <col min="6912" max="6912" width="18.140625" style="33" customWidth="1"/>
    <col min="6913" max="6913" width="22" style="33" customWidth="1"/>
    <col min="6914" max="6915" width="43.140625" style="33" customWidth="1"/>
    <col min="6916" max="6916" width="14.7109375" style="33" customWidth="1"/>
    <col min="6917" max="6917" width="36.28515625" style="33" customWidth="1"/>
    <col min="6918" max="6918" width="18" style="33" customWidth="1"/>
    <col min="6919" max="7163" width="11.42578125" style="33"/>
    <col min="7164" max="7164" width="5.28515625" style="33" customWidth="1"/>
    <col min="7165" max="7165" width="11.42578125" style="33"/>
    <col min="7166" max="7166" width="23.5703125" style="33" customWidth="1"/>
    <col min="7167" max="7167" width="13.28515625" style="33" customWidth="1"/>
    <col min="7168" max="7168" width="18.140625" style="33" customWidth="1"/>
    <col min="7169" max="7169" width="22" style="33" customWidth="1"/>
    <col min="7170" max="7171" width="43.140625" style="33" customWidth="1"/>
    <col min="7172" max="7172" width="14.7109375" style="33" customWidth="1"/>
    <col min="7173" max="7173" width="36.28515625" style="33" customWidth="1"/>
    <col min="7174" max="7174" width="18" style="33" customWidth="1"/>
    <col min="7175" max="7419" width="11.42578125" style="33"/>
    <col min="7420" max="7420" width="5.28515625" style="33" customWidth="1"/>
    <col min="7421" max="7421" width="11.42578125" style="33"/>
    <col min="7422" max="7422" width="23.5703125" style="33" customWidth="1"/>
    <col min="7423" max="7423" width="13.28515625" style="33" customWidth="1"/>
    <col min="7424" max="7424" width="18.140625" style="33" customWidth="1"/>
    <col min="7425" max="7425" width="22" style="33" customWidth="1"/>
    <col min="7426" max="7427" width="43.140625" style="33" customWidth="1"/>
    <col min="7428" max="7428" width="14.7109375" style="33" customWidth="1"/>
    <col min="7429" max="7429" width="36.28515625" style="33" customWidth="1"/>
    <col min="7430" max="7430" width="18" style="33" customWidth="1"/>
    <col min="7431" max="7675" width="11.42578125" style="33"/>
    <col min="7676" max="7676" width="5.28515625" style="33" customWidth="1"/>
    <col min="7677" max="7677" width="11.42578125" style="33"/>
    <col min="7678" max="7678" width="23.5703125" style="33" customWidth="1"/>
    <col min="7679" max="7679" width="13.28515625" style="33" customWidth="1"/>
    <col min="7680" max="7680" width="18.140625" style="33" customWidth="1"/>
    <col min="7681" max="7681" width="22" style="33" customWidth="1"/>
    <col min="7682" max="7683" width="43.140625" style="33" customWidth="1"/>
    <col min="7684" max="7684" width="14.7109375" style="33" customWidth="1"/>
    <col min="7685" max="7685" width="36.28515625" style="33" customWidth="1"/>
    <col min="7686" max="7686" width="18" style="33" customWidth="1"/>
    <col min="7687" max="7931" width="11.42578125" style="33"/>
    <col min="7932" max="7932" width="5.28515625" style="33" customWidth="1"/>
    <col min="7933" max="7933" width="11.42578125" style="33"/>
    <col min="7934" max="7934" width="23.5703125" style="33" customWidth="1"/>
    <col min="7935" max="7935" width="13.28515625" style="33" customWidth="1"/>
    <col min="7936" max="7936" width="18.140625" style="33" customWidth="1"/>
    <col min="7937" max="7937" width="22" style="33" customWidth="1"/>
    <col min="7938" max="7939" width="43.140625" style="33" customWidth="1"/>
    <col min="7940" max="7940" width="14.7109375" style="33" customWidth="1"/>
    <col min="7941" max="7941" width="36.28515625" style="33" customWidth="1"/>
    <col min="7942" max="7942" width="18" style="33" customWidth="1"/>
    <col min="7943" max="8187" width="11.42578125" style="33"/>
    <col min="8188" max="8188" width="5.28515625" style="33" customWidth="1"/>
    <col min="8189" max="8189" width="11.42578125" style="33"/>
    <col min="8190" max="8190" width="23.5703125" style="33" customWidth="1"/>
    <col min="8191" max="8191" width="13.28515625" style="33" customWidth="1"/>
    <col min="8192" max="8192" width="18.140625" style="33" customWidth="1"/>
    <col min="8193" max="8193" width="22" style="33" customWidth="1"/>
    <col min="8194" max="8195" width="43.140625" style="33" customWidth="1"/>
    <col min="8196" max="8196" width="14.7109375" style="33" customWidth="1"/>
    <col min="8197" max="8197" width="36.28515625" style="33" customWidth="1"/>
    <col min="8198" max="8198" width="18" style="33" customWidth="1"/>
    <col min="8199" max="8443" width="11.42578125" style="33"/>
    <col min="8444" max="8444" width="5.28515625" style="33" customWidth="1"/>
    <col min="8445" max="8445" width="11.42578125" style="33"/>
    <col min="8446" max="8446" width="23.5703125" style="33" customWidth="1"/>
    <col min="8447" max="8447" width="13.28515625" style="33" customWidth="1"/>
    <col min="8448" max="8448" width="18.140625" style="33" customWidth="1"/>
    <col min="8449" max="8449" width="22" style="33" customWidth="1"/>
    <col min="8450" max="8451" width="43.140625" style="33" customWidth="1"/>
    <col min="8452" max="8452" width="14.7109375" style="33" customWidth="1"/>
    <col min="8453" max="8453" width="36.28515625" style="33" customWidth="1"/>
    <col min="8454" max="8454" width="18" style="33" customWidth="1"/>
    <col min="8455" max="8699" width="11.42578125" style="33"/>
    <col min="8700" max="8700" width="5.28515625" style="33" customWidth="1"/>
    <col min="8701" max="8701" width="11.42578125" style="33"/>
    <col min="8702" max="8702" width="23.5703125" style="33" customWidth="1"/>
    <col min="8703" max="8703" width="13.28515625" style="33" customWidth="1"/>
    <col min="8704" max="8704" width="18.140625" style="33" customWidth="1"/>
    <col min="8705" max="8705" width="22" style="33" customWidth="1"/>
    <col min="8706" max="8707" width="43.140625" style="33" customWidth="1"/>
    <col min="8708" max="8708" width="14.7109375" style="33" customWidth="1"/>
    <col min="8709" max="8709" width="36.28515625" style="33" customWidth="1"/>
    <col min="8710" max="8710" width="18" style="33" customWidth="1"/>
    <col min="8711" max="8955" width="11.42578125" style="33"/>
    <col min="8956" max="8956" width="5.28515625" style="33" customWidth="1"/>
    <col min="8957" max="8957" width="11.42578125" style="33"/>
    <col min="8958" max="8958" width="23.5703125" style="33" customWidth="1"/>
    <col min="8959" max="8959" width="13.28515625" style="33" customWidth="1"/>
    <col min="8960" max="8960" width="18.140625" style="33" customWidth="1"/>
    <col min="8961" max="8961" width="22" style="33" customWidth="1"/>
    <col min="8962" max="8963" width="43.140625" style="33" customWidth="1"/>
    <col min="8964" max="8964" width="14.7109375" style="33" customWidth="1"/>
    <col min="8965" max="8965" width="36.28515625" style="33" customWidth="1"/>
    <col min="8966" max="8966" width="18" style="33" customWidth="1"/>
    <col min="8967" max="9211" width="11.42578125" style="33"/>
    <col min="9212" max="9212" width="5.28515625" style="33" customWidth="1"/>
    <col min="9213" max="9213" width="11.42578125" style="33"/>
    <col min="9214" max="9214" width="23.5703125" style="33" customWidth="1"/>
    <col min="9215" max="9215" width="13.28515625" style="33" customWidth="1"/>
    <col min="9216" max="9216" width="18.140625" style="33" customWidth="1"/>
    <col min="9217" max="9217" width="22" style="33" customWidth="1"/>
    <col min="9218" max="9219" width="43.140625" style="33" customWidth="1"/>
    <col min="9220" max="9220" width="14.7109375" style="33" customWidth="1"/>
    <col min="9221" max="9221" width="36.28515625" style="33" customWidth="1"/>
    <col min="9222" max="9222" width="18" style="33" customWidth="1"/>
    <col min="9223" max="9467" width="11.42578125" style="33"/>
    <col min="9468" max="9468" width="5.28515625" style="33" customWidth="1"/>
    <col min="9469" max="9469" width="11.42578125" style="33"/>
    <col min="9470" max="9470" width="23.5703125" style="33" customWidth="1"/>
    <col min="9471" max="9471" width="13.28515625" style="33" customWidth="1"/>
    <col min="9472" max="9472" width="18.140625" style="33" customWidth="1"/>
    <col min="9473" max="9473" width="22" style="33" customWidth="1"/>
    <col min="9474" max="9475" width="43.140625" style="33" customWidth="1"/>
    <col min="9476" max="9476" width="14.7109375" style="33" customWidth="1"/>
    <col min="9477" max="9477" width="36.28515625" style="33" customWidth="1"/>
    <col min="9478" max="9478" width="18" style="33" customWidth="1"/>
    <col min="9479" max="9723" width="11.42578125" style="33"/>
    <col min="9724" max="9724" width="5.28515625" style="33" customWidth="1"/>
    <col min="9725" max="9725" width="11.42578125" style="33"/>
    <col min="9726" max="9726" width="23.5703125" style="33" customWidth="1"/>
    <col min="9727" max="9727" width="13.28515625" style="33" customWidth="1"/>
    <col min="9728" max="9728" width="18.140625" style="33" customWidth="1"/>
    <col min="9729" max="9729" width="22" style="33" customWidth="1"/>
    <col min="9730" max="9731" width="43.140625" style="33" customWidth="1"/>
    <col min="9732" max="9732" width="14.7109375" style="33" customWidth="1"/>
    <col min="9733" max="9733" width="36.28515625" style="33" customWidth="1"/>
    <col min="9734" max="9734" width="18" style="33" customWidth="1"/>
    <col min="9735" max="9979" width="11.42578125" style="33"/>
    <col min="9980" max="9980" width="5.28515625" style="33" customWidth="1"/>
    <col min="9981" max="9981" width="11.42578125" style="33"/>
    <col min="9982" max="9982" width="23.5703125" style="33" customWidth="1"/>
    <col min="9983" max="9983" width="13.28515625" style="33" customWidth="1"/>
    <col min="9984" max="9984" width="18.140625" style="33" customWidth="1"/>
    <col min="9985" max="9985" width="22" style="33" customWidth="1"/>
    <col min="9986" max="9987" width="43.140625" style="33" customWidth="1"/>
    <col min="9988" max="9988" width="14.7109375" style="33" customWidth="1"/>
    <col min="9989" max="9989" width="36.28515625" style="33" customWidth="1"/>
    <col min="9990" max="9990" width="18" style="33" customWidth="1"/>
    <col min="9991" max="10235" width="11.42578125" style="33"/>
    <col min="10236" max="10236" width="5.28515625" style="33" customWidth="1"/>
    <col min="10237" max="10237" width="11.42578125" style="33"/>
    <col min="10238" max="10238" width="23.5703125" style="33" customWidth="1"/>
    <col min="10239" max="10239" width="13.28515625" style="33" customWidth="1"/>
    <col min="10240" max="10240" width="18.140625" style="33" customWidth="1"/>
    <col min="10241" max="10241" width="22" style="33" customWidth="1"/>
    <col min="10242" max="10243" width="43.140625" style="33" customWidth="1"/>
    <col min="10244" max="10244" width="14.7109375" style="33" customWidth="1"/>
    <col min="10245" max="10245" width="36.28515625" style="33" customWidth="1"/>
    <col min="10246" max="10246" width="18" style="33" customWidth="1"/>
    <col min="10247" max="10491" width="11.42578125" style="33"/>
    <col min="10492" max="10492" width="5.28515625" style="33" customWidth="1"/>
    <col min="10493" max="10493" width="11.42578125" style="33"/>
    <col min="10494" max="10494" width="23.5703125" style="33" customWidth="1"/>
    <col min="10495" max="10495" width="13.28515625" style="33" customWidth="1"/>
    <col min="10496" max="10496" width="18.140625" style="33" customWidth="1"/>
    <col min="10497" max="10497" width="22" style="33" customWidth="1"/>
    <col min="10498" max="10499" width="43.140625" style="33" customWidth="1"/>
    <col min="10500" max="10500" width="14.7109375" style="33" customWidth="1"/>
    <col min="10501" max="10501" width="36.28515625" style="33" customWidth="1"/>
    <col min="10502" max="10502" width="18" style="33" customWidth="1"/>
    <col min="10503" max="10747" width="11.42578125" style="33"/>
    <col min="10748" max="10748" width="5.28515625" style="33" customWidth="1"/>
    <col min="10749" max="10749" width="11.42578125" style="33"/>
    <col min="10750" max="10750" width="23.5703125" style="33" customWidth="1"/>
    <col min="10751" max="10751" width="13.28515625" style="33" customWidth="1"/>
    <col min="10752" max="10752" width="18.140625" style="33" customWidth="1"/>
    <col min="10753" max="10753" width="22" style="33" customWidth="1"/>
    <col min="10754" max="10755" width="43.140625" style="33" customWidth="1"/>
    <col min="10756" max="10756" width="14.7109375" style="33" customWidth="1"/>
    <col min="10757" max="10757" width="36.28515625" style="33" customWidth="1"/>
    <col min="10758" max="10758" width="18" style="33" customWidth="1"/>
    <col min="10759" max="11003" width="11.42578125" style="33"/>
    <col min="11004" max="11004" width="5.28515625" style="33" customWidth="1"/>
    <col min="11005" max="11005" width="11.42578125" style="33"/>
    <col min="11006" max="11006" width="23.5703125" style="33" customWidth="1"/>
    <col min="11007" max="11007" width="13.28515625" style="33" customWidth="1"/>
    <col min="11008" max="11008" width="18.140625" style="33" customWidth="1"/>
    <col min="11009" max="11009" width="22" style="33" customWidth="1"/>
    <col min="11010" max="11011" width="43.140625" style="33" customWidth="1"/>
    <col min="11012" max="11012" width="14.7109375" style="33" customWidth="1"/>
    <col min="11013" max="11013" width="36.28515625" style="33" customWidth="1"/>
    <col min="11014" max="11014" width="18" style="33" customWidth="1"/>
    <col min="11015" max="11259" width="11.42578125" style="33"/>
    <col min="11260" max="11260" width="5.28515625" style="33" customWidth="1"/>
    <col min="11261" max="11261" width="11.42578125" style="33"/>
    <col min="11262" max="11262" width="23.5703125" style="33" customWidth="1"/>
    <col min="11263" max="11263" width="13.28515625" style="33" customWidth="1"/>
    <col min="11264" max="11264" width="18.140625" style="33" customWidth="1"/>
    <col min="11265" max="11265" width="22" style="33" customWidth="1"/>
    <col min="11266" max="11267" width="43.140625" style="33" customWidth="1"/>
    <col min="11268" max="11268" width="14.7109375" style="33" customWidth="1"/>
    <col min="11269" max="11269" width="36.28515625" style="33" customWidth="1"/>
    <col min="11270" max="11270" width="18" style="33" customWidth="1"/>
    <col min="11271" max="11515" width="11.42578125" style="33"/>
    <col min="11516" max="11516" width="5.28515625" style="33" customWidth="1"/>
    <col min="11517" max="11517" width="11.42578125" style="33"/>
    <col min="11518" max="11518" width="23.5703125" style="33" customWidth="1"/>
    <col min="11519" max="11519" width="13.28515625" style="33" customWidth="1"/>
    <col min="11520" max="11520" width="18.140625" style="33" customWidth="1"/>
    <col min="11521" max="11521" width="22" style="33" customWidth="1"/>
    <col min="11522" max="11523" width="43.140625" style="33" customWidth="1"/>
    <col min="11524" max="11524" width="14.7109375" style="33" customWidth="1"/>
    <col min="11525" max="11525" width="36.28515625" style="33" customWidth="1"/>
    <col min="11526" max="11526" width="18" style="33" customWidth="1"/>
    <col min="11527" max="11771" width="11.42578125" style="33"/>
    <col min="11772" max="11772" width="5.28515625" style="33" customWidth="1"/>
    <col min="11773" max="11773" width="11.42578125" style="33"/>
    <col min="11774" max="11774" width="23.5703125" style="33" customWidth="1"/>
    <col min="11775" max="11775" width="13.28515625" style="33" customWidth="1"/>
    <col min="11776" max="11776" width="18.140625" style="33" customWidth="1"/>
    <col min="11777" max="11777" width="22" style="33" customWidth="1"/>
    <col min="11778" max="11779" width="43.140625" style="33" customWidth="1"/>
    <col min="11780" max="11780" width="14.7109375" style="33" customWidth="1"/>
    <col min="11781" max="11781" width="36.28515625" style="33" customWidth="1"/>
    <col min="11782" max="11782" width="18" style="33" customWidth="1"/>
    <col min="11783" max="12027" width="11.42578125" style="33"/>
    <col min="12028" max="12028" width="5.28515625" style="33" customWidth="1"/>
    <col min="12029" max="12029" width="11.42578125" style="33"/>
    <col min="12030" max="12030" width="23.5703125" style="33" customWidth="1"/>
    <col min="12031" max="12031" width="13.28515625" style="33" customWidth="1"/>
    <col min="12032" max="12032" width="18.140625" style="33" customWidth="1"/>
    <col min="12033" max="12033" width="22" style="33" customWidth="1"/>
    <col min="12034" max="12035" width="43.140625" style="33" customWidth="1"/>
    <col min="12036" max="12036" width="14.7109375" style="33" customWidth="1"/>
    <col min="12037" max="12037" width="36.28515625" style="33" customWidth="1"/>
    <col min="12038" max="12038" width="18" style="33" customWidth="1"/>
    <col min="12039" max="12283" width="11.42578125" style="33"/>
    <col min="12284" max="12284" width="5.28515625" style="33" customWidth="1"/>
    <col min="12285" max="12285" width="11.42578125" style="33"/>
    <col min="12286" max="12286" width="23.5703125" style="33" customWidth="1"/>
    <col min="12287" max="12287" width="13.28515625" style="33" customWidth="1"/>
    <col min="12288" max="12288" width="18.140625" style="33" customWidth="1"/>
    <col min="12289" max="12289" width="22" style="33" customWidth="1"/>
    <col min="12290" max="12291" width="43.140625" style="33" customWidth="1"/>
    <col min="12292" max="12292" width="14.7109375" style="33" customWidth="1"/>
    <col min="12293" max="12293" width="36.28515625" style="33" customWidth="1"/>
    <col min="12294" max="12294" width="18" style="33" customWidth="1"/>
    <col min="12295" max="12539" width="11.42578125" style="33"/>
    <col min="12540" max="12540" width="5.28515625" style="33" customWidth="1"/>
    <col min="12541" max="12541" width="11.42578125" style="33"/>
    <col min="12542" max="12542" width="23.5703125" style="33" customWidth="1"/>
    <col min="12543" max="12543" width="13.28515625" style="33" customWidth="1"/>
    <col min="12544" max="12544" width="18.140625" style="33" customWidth="1"/>
    <col min="12545" max="12545" width="22" style="33" customWidth="1"/>
    <col min="12546" max="12547" width="43.140625" style="33" customWidth="1"/>
    <col min="12548" max="12548" width="14.7109375" style="33" customWidth="1"/>
    <col min="12549" max="12549" width="36.28515625" style="33" customWidth="1"/>
    <col min="12550" max="12550" width="18" style="33" customWidth="1"/>
    <col min="12551" max="12795" width="11.42578125" style="33"/>
    <col min="12796" max="12796" width="5.28515625" style="33" customWidth="1"/>
    <col min="12797" max="12797" width="11.42578125" style="33"/>
    <col min="12798" max="12798" width="23.5703125" style="33" customWidth="1"/>
    <col min="12799" max="12799" width="13.28515625" style="33" customWidth="1"/>
    <col min="12800" max="12800" width="18.140625" style="33" customWidth="1"/>
    <col min="12801" max="12801" width="22" style="33" customWidth="1"/>
    <col min="12802" max="12803" width="43.140625" style="33" customWidth="1"/>
    <col min="12804" max="12804" width="14.7109375" style="33" customWidth="1"/>
    <col min="12805" max="12805" width="36.28515625" style="33" customWidth="1"/>
    <col min="12806" max="12806" width="18" style="33" customWidth="1"/>
    <col min="12807" max="13051" width="11.42578125" style="33"/>
    <col min="13052" max="13052" width="5.28515625" style="33" customWidth="1"/>
    <col min="13053" max="13053" width="11.42578125" style="33"/>
    <col min="13054" max="13054" width="23.5703125" style="33" customWidth="1"/>
    <col min="13055" max="13055" width="13.28515625" style="33" customWidth="1"/>
    <col min="13056" max="13056" width="18.140625" style="33" customWidth="1"/>
    <col min="13057" max="13057" width="22" style="33" customWidth="1"/>
    <col min="13058" max="13059" width="43.140625" style="33" customWidth="1"/>
    <col min="13060" max="13060" width="14.7109375" style="33" customWidth="1"/>
    <col min="13061" max="13061" width="36.28515625" style="33" customWidth="1"/>
    <col min="13062" max="13062" width="18" style="33" customWidth="1"/>
    <col min="13063" max="13307" width="11.42578125" style="33"/>
    <col min="13308" max="13308" width="5.28515625" style="33" customWidth="1"/>
    <col min="13309" max="13309" width="11.42578125" style="33"/>
    <col min="13310" max="13310" width="23.5703125" style="33" customWidth="1"/>
    <col min="13311" max="13311" width="13.28515625" style="33" customWidth="1"/>
    <col min="13312" max="13312" width="18.140625" style="33" customWidth="1"/>
    <col min="13313" max="13313" width="22" style="33" customWidth="1"/>
    <col min="13314" max="13315" width="43.140625" style="33" customWidth="1"/>
    <col min="13316" max="13316" width="14.7109375" style="33" customWidth="1"/>
    <col min="13317" max="13317" width="36.28515625" style="33" customWidth="1"/>
    <col min="13318" max="13318" width="18" style="33" customWidth="1"/>
    <col min="13319" max="13563" width="11.42578125" style="33"/>
    <col min="13564" max="13564" width="5.28515625" style="33" customWidth="1"/>
    <col min="13565" max="13565" width="11.42578125" style="33"/>
    <col min="13566" max="13566" width="23.5703125" style="33" customWidth="1"/>
    <col min="13567" max="13567" width="13.28515625" style="33" customWidth="1"/>
    <col min="13568" max="13568" width="18.140625" style="33" customWidth="1"/>
    <col min="13569" max="13569" width="22" style="33" customWidth="1"/>
    <col min="13570" max="13571" width="43.140625" style="33" customWidth="1"/>
    <col min="13572" max="13572" width="14.7109375" style="33" customWidth="1"/>
    <col min="13573" max="13573" width="36.28515625" style="33" customWidth="1"/>
    <col min="13574" max="13574" width="18" style="33" customWidth="1"/>
    <col min="13575" max="13819" width="11.42578125" style="33"/>
    <col min="13820" max="13820" width="5.28515625" style="33" customWidth="1"/>
    <col min="13821" max="13821" width="11.42578125" style="33"/>
    <col min="13822" max="13822" width="23.5703125" style="33" customWidth="1"/>
    <col min="13823" max="13823" width="13.28515625" style="33" customWidth="1"/>
    <col min="13824" max="13824" width="18.140625" style="33" customWidth="1"/>
    <col min="13825" max="13825" width="22" style="33" customWidth="1"/>
    <col min="13826" max="13827" width="43.140625" style="33" customWidth="1"/>
    <col min="13828" max="13828" width="14.7109375" style="33" customWidth="1"/>
    <col min="13829" max="13829" width="36.28515625" style="33" customWidth="1"/>
    <col min="13830" max="13830" width="18" style="33" customWidth="1"/>
    <col min="13831" max="14075" width="11.42578125" style="33"/>
    <col min="14076" max="14076" width="5.28515625" style="33" customWidth="1"/>
    <col min="14077" max="14077" width="11.42578125" style="33"/>
    <col min="14078" max="14078" width="23.5703125" style="33" customWidth="1"/>
    <col min="14079" max="14079" width="13.28515625" style="33" customWidth="1"/>
    <col min="14080" max="14080" width="18.140625" style="33" customWidth="1"/>
    <col min="14081" max="14081" width="22" style="33" customWidth="1"/>
    <col min="14082" max="14083" width="43.140625" style="33" customWidth="1"/>
    <col min="14084" max="14084" width="14.7109375" style="33" customWidth="1"/>
    <col min="14085" max="14085" width="36.28515625" style="33" customWidth="1"/>
    <col min="14086" max="14086" width="18" style="33" customWidth="1"/>
    <col min="14087" max="14331" width="11.42578125" style="33"/>
    <col min="14332" max="14332" width="5.28515625" style="33" customWidth="1"/>
    <col min="14333" max="14333" width="11.42578125" style="33"/>
    <col min="14334" max="14334" width="23.5703125" style="33" customWidth="1"/>
    <col min="14335" max="14335" width="13.28515625" style="33" customWidth="1"/>
    <col min="14336" max="14336" width="18.140625" style="33" customWidth="1"/>
    <col min="14337" max="14337" width="22" style="33" customWidth="1"/>
    <col min="14338" max="14339" width="43.140625" style="33" customWidth="1"/>
    <col min="14340" max="14340" width="14.7109375" style="33" customWidth="1"/>
    <col min="14341" max="14341" width="36.28515625" style="33" customWidth="1"/>
    <col min="14342" max="14342" width="18" style="33" customWidth="1"/>
    <col min="14343" max="14587" width="11.42578125" style="33"/>
    <col min="14588" max="14588" width="5.28515625" style="33" customWidth="1"/>
    <col min="14589" max="14589" width="11.42578125" style="33"/>
    <col min="14590" max="14590" width="23.5703125" style="33" customWidth="1"/>
    <col min="14591" max="14591" width="13.28515625" style="33" customWidth="1"/>
    <col min="14592" max="14592" width="18.140625" style="33" customWidth="1"/>
    <col min="14593" max="14593" width="22" style="33" customWidth="1"/>
    <col min="14594" max="14595" width="43.140625" style="33" customWidth="1"/>
    <col min="14596" max="14596" width="14.7109375" style="33" customWidth="1"/>
    <col min="14597" max="14597" width="36.28515625" style="33" customWidth="1"/>
    <col min="14598" max="14598" width="18" style="33" customWidth="1"/>
    <col min="14599" max="14843" width="11.42578125" style="33"/>
    <col min="14844" max="14844" width="5.28515625" style="33" customWidth="1"/>
    <col min="14845" max="14845" width="11.42578125" style="33"/>
    <col min="14846" max="14846" width="23.5703125" style="33" customWidth="1"/>
    <col min="14847" max="14847" width="13.28515625" style="33" customWidth="1"/>
    <col min="14848" max="14848" width="18.140625" style="33" customWidth="1"/>
    <col min="14849" max="14849" width="22" style="33" customWidth="1"/>
    <col min="14850" max="14851" width="43.140625" style="33" customWidth="1"/>
    <col min="14852" max="14852" width="14.7109375" style="33" customWidth="1"/>
    <col min="14853" max="14853" width="36.28515625" style="33" customWidth="1"/>
    <col min="14854" max="14854" width="18" style="33" customWidth="1"/>
    <col min="14855" max="15099" width="11.42578125" style="33"/>
    <col min="15100" max="15100" width="5.28515625" style="33" customWidth="1"/>
    <col min="15101" max="15101" width="11.42578125" style="33"/>
    <col min="15102" max="15102" width="23.5703125" style="33" customWidth="1"/>
    <col min="15103" max="15103" width="13.28515625" style="33" customWidth="1"/>
    <col min="15104" max="15104" width="18.140625" style="33" customWidth="1"/>
    <col min="15105" max="15105" width="22" style="33" customWidth="1"/>
    <col min="15106" max="15107" width="43.140625" style="33" customWidth="1"/>
    <col min="15108" max="15108" width="14.7109375" style="33" customWidth="1"/>
    <col min="15109" max="15109" width="36.28515625" style="33" customWidth="1"/>
    <col min="15110" max="15110" width="18" style="33" customWidth="1"/>
    <col min="15111" max="15355" width="11.42578125" style="33"/>
    <col min="15356" max="15356" width="5.28515625" style="33" customWidth="1"/>
    <col min="15357" max="15357" width="11.42578125" style="33"/>
    <col min="15358" max="15358" width="23.5703125" style="33" customWidth="1"/>
    <col min="15359" max="15359" width="13.28515625" style="33" customWidth="1"/>
    <col min="15360" max="15360" width="18.140625" style="33" customWidth="1"/>
    <col min="15361" max="15361" width="22" style="33" customWidth="1"/>
    <col min="15362" max="15363" width="43.140625" style="33" customWidth="1"/>
    <col min="15364" max="15364" width="14.7109375" style="33" customWidth="1"/>
    <col min="15365" max="15365" width="36.28515625" style="33" customWidth="1"/>
    <col min="15366" max="15366" width="18" style="33" customWidth="1"/>
    <col min="15367" max="15611" width="11.42578125" style="33"/>
    <col min="15612" max="15612" width="5.28515625" style="33" customWidth="1"/>
    <col min="15613" max="15613" width="11.42578125" style="33"/>
    <col min="15614" max="15614" width="23.5703125" style="33" customWidth="1"/>
    <col min="15615" max="15615" width="13.28515625" style="33" customWidth="1"/>
    <col min="15616" max="15616" width="18.140625" style="33" customWidth="1"/>
    <col min="15617" max="15617" width="22" style="33" customWidth="1"/>
    <col min="15618" max="15619" width="43.140625" style="33" customWidth="1"/>
    <col min="15620" max="15620" width="14.7109375" style="33" customWidth="1"/>
    <col min="15621" max="15621" width="36.28515625" style="33" customWidth="1"/>
    <col min="15622" max="15622" width="18" style="33" customWidth="1"/>
    <col min="15623" max="15867" width="11.42578125" style="33"/>
    <col min="15868" max="15868" width="5.28515625" style="33" customWidth="1"/>
    <col min="15869" max="15869" width="11.42578125" style="33"/>
    <col min="15870" max="15870" width="23.5703125" style="33" customWidth="1"/>
    <col min="15871" max="15871" width="13.28515625" style="33" customWidth="1"/>
    <col min="15872" max="15872" width="18.140625" style="33" customWidth="1"/>
    <col min="15873" max="15873" width="22" style="33" customWidth="1"/>
    <col min="15874" max="15875" width="43.140625" style="33" customWidth="1"/>
    <col min="15876" max="15876" width="14.7109375" style="33" customWidth="1"/>
    <col min="15877" max="15877" width="36.28515625" style="33" customWidth="1"/>
    <col min="15878" max="15878" width="18" style="33" customWidth="1"/>
    <col min="15879" max="16123" width="11.42578125" style="33"/>
    <col min="16124" max="16124" width="5.28515625" style="33" customWidth="1"/>
    <col min="16125" max="16125" width="11.42578125" style="33"/>
    <col min="16126" max="16126" width="23.5703125" style="33" customWidth="1"/>
    <col min="16127" max="16127" width="13.28515625" style="33" customWidth="1"/>
    <col min="16128" max="16128" width="18.140625" style="33" customWidth="1"/>
    <col min="16129" max="16129" width="22" style="33" customWidth="1"/>
    <col min="16130" max="16131" width="43.140625" style="33" customWidth="1"/>
    <col min="16132" max="16132" width="14.7109375" style="33" customWidth="1"/>
    <col min="16133" max="16133" width="36.28515625" style="33" customWidth="1"/>
    <col min="16134" max="16134" width="18" style="33" customWidth="1"/>
    <col min="16135" max="16384" width="11.42578125" style="33"/>
  </cols>
  <sheetData>
    <row r="6" spans="1:6" ht="20.25" x14ac:dyDescent="0.25">
      <c r="B6" s="107"/>
      <c r="C6" s="107"/>
      <c r="D6" s="107"/>
      <c r="E6" s="107"/>
      <c r="F6" s="32"/>
    </row>
    <row r="7" spans="1:6" ht="18" x14ac:dyDescent="0.25">
      <c r="B7" s="34"/>
      <c r="C7" s="34"/>
      <c r="D7" s="34"/>
      <c r="E7" s="34"/>
      <c r="F7" s="34"/>
    </row>
    <row r="8" spans="1:6" ht="37.5" customHeight="1" x14ac:dyDescent="0.25">
      <c r="A8" s="35" t="s">
        <v>399</v>
      </c>
      <c r="B8" s="35" t="s">
        <v>412</v>
      </c>
      <c r="C8" s="35" t="s">
        <v>12</v>
      </c>
      <c r="D8" s="35" t="s">
        <v>413</v>
      </c>
      <c r="E8" s="35" t="s">
        <v>414</v>
      </c>
      <c r="F8" s="35" t="s">
        <v>415</v>
      </c>
    </row>
    <row r="9" spans="1:6" ht="38.25" customHeight="1" x14ac:dyDescent="0.25">
      <c r="A9" s="42">
        <v>1</v>
      </c>
      <c r="B9" s="37" t="s">
        <v>36</v>
      </c>
      <c r="C9" s="38" t="s">
        <v>356</v>
      </c>
      <c r="D9" s="36" t="s">
        <v>417</v>
      </c>
      <c r="E9" s="39">
        <v>8293086310</v>
      </c>
      <c r="F9" s="40" t="s">
        <v>418</v>
      </c>
    </row>
    <row r="10" spans="1:6" ht="38.25" customHeight="1" x14ac:dyDescent="0.25">
      <c r="A10" s="42">
        <f>+A9+1</f>
        <v>2</v>
      </c>
      <c r="B10" s="37" t="s">
        <v>36</v>
      </c>
      <c r="C10" s="38" t="s">
        <v>33</v>
      </c>
      <c r="D10" s="36" t="s">
        <v>647</v>
      </c>
      <c r="E10" s="39">
        <v>8099910708</v>
      </c>
      <c r="F10" s="40" t="s">
        <v>416</v>
      </c>
    </row>
    <row r="11" spans="1:6" ht="38.25" customHeight="1" x14ac:dyDescent="0.25">
      <c r="A11" s="42">
        <f>+A10+1</f>
        <v>3</v>
      </c>
      <c r="B11" s="37" t="s">
        <v>36</v>
      </c>
      <c r="C11" s="38" t="s">
        <v>34</v>
      </c>
      <c r="D11" s="38" t="s">
        <v>419</v>
      </c>
      <c r="E11" s="39">
        <v>8099912965</v>
      </c>
      <c r="F11" s="40" t="s">
        <v>418</v>
      </c>
    </row>
    <row r="12" spans="1:6" ht="38.25" customHeight="1" x14ac:dyDescent="0.25">
      <c r="A12" s="42">
        <f t="shared" ref="A12:A111" si="0">+A11+1</f>
        <v>4</v>
      </c>
      <c r="B12" s="37" t="s">
        <v>36</v>
      </c>
      <c r="C12" s="38" t="s">
        <v>35</v>
      </c>
      <c r="D12" s="38" t="s">
        <v>420</v>
      </c>
      <c r="E12" s="39">
        <v>8099912703</v>
      </c>
      <c r="F12" s="39" t="s">
        <v>416</v>
      </c>
    </row>
    <row r="13" spans="1:6" ht="32.25" customHeight="1" x14ac:dyDescent="0.25">
      <c r="A13" s="42">
        <f t="shared" si="0"/>
        <v>5</v>
      </c>
      <c r="B13" s="37" t="s">
        <v>643</v>
      </c>
      <c r="C13" s="38" t="s">
        <v>38</v>
      </c>
      <c r="D13" s="38" t="s">
        <v>421</v>
      </c>
      <c r="E13" s="39">
        <v>8099913784</v>
      </c>
      <c r="F13" s="39" t="s">
        <v>416</v>
      </c>
    </row>
    <row r="14" spans="1:6" ht="41.25" customHeight="1" x14ac:dyDescent="0.25">
      <c r="A14" s="42">
        <f t="shared" si="0"/>
        <v>6</v>
      </c>
      <c r="B14" s="37" t="s">
        <v>643</v>
      </c>
      <c r="C14" s="38" t="s">
        <v>39</v>
      </c>
      <c r="D14" s="38" t="s">
        <v>422</v>
      </c>
      <c r="E14" s="39">
        <v>8099912702</v>
      </c>
      <c r="F14" s="39" t="s">
        <v>416</v>
      </c>
    </row>
    <row r="15" spans="1:6" ht="38.25" customHeight="1" x14ac:dyDescent="0.25">
      <c r="A15" s="42">
        <f t="shared" si="0"/>
        <v>7</v>
      </c>
      <c r="B15" s="37" t="s">
        <v>643</v>
      </c>
      <c r="C15" s="38" t="s">
        <v>40</v>
      </c>
      <c r="D15" s="38" t="s">
        <v>423</v>
      </c>
      <c r="E15" s="39">
        <v>8099912675</v>
      </c>
      <c r="F15" s="39" t="s">
        <v>418</v>
      </c>
    </row>
    <row r="16" spans="1:6" ht="39" customHeight="1" x14ac:dyDescent="0.25">
      <c r="A16" s="42">
        <f t="shared" si="0"/>
        <v>8</v>
      </c>
      <c r="B16" s="37" t="s">
        <v>643</v>
      </c>
      <c r="C16" s="38" t="s">
        <v>424</v>
      </c>
      <c r="D16" s="38" t="s">
        <v>425</v>
      </c>
      <c r="E16" s="39">
        <v>8098029685</v>
      </c>
      <c r="F16" s="39" t="s">
        <v>416</v>
      </c>
    </row>
    <row r="17" spans="1:6" ht="39" customHeight="1" x14ac:dyDescent="0.25">
      <c r="A17" s="42">
        <f t="shared" si="0"/>
        <v>9</v>
      </c>
      <c r="B17" s="37" t="s">
        <v>50</v>
      </c>
      <c r="C17" s="38" t="s">
        <v>426</v>
      </c>
      <c r="D17" s="38" t="s">
        <v>427</v>
      </c>
      <c r="E17" s="39">
        <v>8293083595</v>
      </c>
      <c r="F17" s="39" t="s">
        <v>416</v>
      </c>
    </row>
    <row r="18" spans="1:6" ht="39" customHeight="1" x14ac:dyDescent="0.25">
      <c r="A18" s="42">
        <f t="shared" si="0"/>
        <v>10</v>
      </c>
      <c r="B18" s="37" t="s">
        <v>50</v>
      </c>
      <c r="C18" s="38" t="s">
        <v>45</v>
      </c>
      <c r="D18" s="38" t="s">
        <v>428</v>
      </c>
      <c r="E18" s="39">
        <v>8097080636</v>
      </c>
      <c r="F18" s="40" t="s">
        <v>418</v>
      </c>
    </row>
    <row r="19" spans="1:6" ht="39" customHeight="1" x14ac:dyDescent="0.25">
      <c r="A19" s="42">
        <f>+A18+1</f>
        <v>11</v>
      </c>
      <c r="B19" s="37" t="s">
        <v>50</v>
      </c>
      <c r="C19" s="38" t="s">
        <v>44</v>
      </c>
      <c r="D19" s="38" t="s">
        <v>648</v>
      </c>
      <c r="E19" s="39">
        <v>8098029454</v>
      </c>
      <c r="F19" s="39" t="s">
        <v>416</v>
      </c>
    </row>
    <row r="20" spans="1:6" ht="39" customHeight="1" x14ac:dyDescent="0.25">
      <c r="A20" s="42">
        <f>+A19+1</f>
        <v>12</v>
      </c>
      <c r="B20" s="37" t="s">
        <v>50</v>
      </c>
      <c r="C20" s="38" t="s">
        <v>47</v>
      </c>
      <c r="D20" s="38" t="s">
        <v>429</v>
      </c>
      <c r="E20" s="39">
        <v>8099911943</v>
      </c>
      <c r="F20" s="39" t="s">
        <v>416</v>
      </c>
    </row>
    <row r="21" spans="1:6" ht="39" customHeight="1" x14ac:dyDescent="0.25">
      <c r="A21" s="42">
        <f>+A20+1</f>
        <v>13</v>
      </c>
      <c r="B21" s="37" t="s">
        <v>50</v>
      </c>
      <c r="C21" s="38" t="s">
        <v>46</v>
      </c>
      <c r="D21" s="38" t="s">
        <v>649</v>
      </c>
      <c r="E21" s="39">
        <v>8099912650</v>
      </c>
      <c r="F21" s="39" t="s">
        <v>416</v>
      </c>
    </row>
    <row r="22" spans="1:6" ht="39" customHeight="1" x14ac:dyDescent="0.25">
      <c r="A22" s="42">
        <f>+A21+1</f>
        <v>14</v>
      </c>
      <c r="B22" s="37" t="s">
        <v>50</v>
      </c>
      <c r="C22" s="38" t="s">
        <v>49</v>
      </c>
      <c r="D22" s="38" t="s">
        <v>430</v>
      </c>
      <c r="E22" s="39">
        <v>8099912644</v>
      </c>
      <c r="F22" s="39" t="s">
        <v>416</v>
      </c>
    </row>
    <row r="23" spans="1:6" ht="39" customHeight="1" x14ac:dyDescent="0.25">
      <c r="A23" s="42">
        <f t="shared" si="0"/>
        <v>15</v>
      </c>
      <c r="B23" s="37" t="s">
        <v>50</v>
      </c>
      <c r="C23" s="38" t="s">
        <v>42</v>
      </c>
      <c r="D23" s="38" t="s">
        <v>431</v>
      </c>
      <c r="E23" s="39">
        <v>8299220269</v>
      </c>
      <c r="F23" s="39" t="s">
        <v>416</v>
      </c>
    </row>
    <row r="24" spans="1:6" ht="39" customHeight="1" x14ac:dyDescent="0.25">
      <c r="A24" s="42">
        <f t="shared" si="0"/>
        <v>16</v>
      </c>
      <c r="B24" s="37" t="s">
        <v>50</v>
      </c>
      <c r="C24" s="38" t="s">
        <v>48</v>
      </c>
      <c r="D24" s="38" t="s">
        <v>432</v>
      </c>
      <c r="E24" s="39">
        <v>8099913041</v>
      </c>
      <c r="F24" s="39" t="s">
        <v>416</v>
      </c>
    </row>
    <row r="25" spans="1:6" ht="39" customHeight="1" x14ac:dyDescent="0.25">
      <c r="A25" s="42">
        <f t="shared" si="0"/>
        <v>17</v>
      </c>
      <c r="B25" s="37" t="s">
        <v>51</v>
      </c>
      <c r="C25" s="38" t="s">
        <v>52</v>
      </c>
      <c r="D25" s="38" t="s">
        <v>433</v>
      </c>
      <c r="E25" s="39">
        <v>8099911253</v>
      </c>
      <c r="F25" s="39" t="s">
        <v>416</v>
      </c>
    </row>
    <row r="26" spans="1:6" ht="39" customHeight="1" x14ac:dyDescent="0.25">
      <c r="A26" s="42">
        <f t="shared" si="0"/>
        <v>18</v>
      </c>
      <c r="B26" s="37" t="s">
        <v>51</v>
      </c>
      <c r="C26" s="38" t="s">
        <v>53</v>
      </c>
      <c r="D26" s="38" t="s">
        <v>434</v>
      </c>
      <c r="E26" s="39">
        <v>8293088472</v>
      </c>
      <c r="F26" s="39" t="s">
        <v>416</v>
      </c>
    </row>
    <row r="27" spans="1:6" ht="39" customHeight="1" x14ac:dyDescent="0.25">
      <c r="A27" s="42">
        <f t="shared" si="0"/>
        <v>19</v>
      </c>
      <c r="B27" s="37" t="s">
        <v>51</v>
      </c>
      <c r="C27" s="38" t="s">
        <v>54</v>
      </c>
      <c r="D27" s="36" t="s">
        <v>435</v>
      </c>
      <c r="E27" s="39">
        <v>8099911801</v>
      </c>
      <c r="F27" s="40" t="s">
        <v>418</v>
      </c>
    </row>
    <row r="28" spans="1:6" ht="39" customHeight="1" x14ac:dyDescent="0.25">
      <c r="A28" s="42">
        <f t="shared" si="0"/>
        <v>20</v>
      </c>
      <c r="B28" s="37" t="s">
        <v>51</v>
      </c>
      <c r="C28" s="38" t="s">
        <v>436</v>
      </c>
      <c r="D28" s="38" t="s">
        <v>437</v>
      </c>
      <c r="E28" s="39">
        <v>8097080096</v>
      </c>
      <c r="F28" s="39" t="s">
        <v>416</v>
      </c>
    </row>
    <row r="29" spans="1:6" ht="39" customHeight="1" x14ac:dyDescent="0.25">
      <c r="A29" s="42">
        <f t="shared" si="0"/>
        <v>21</v>
      </c>
      <c r="B29" s="37" t="s">
        <v>271</v>
      </c>
      <c r="C29" s="38" t="s">
        <v>223</v>
      </c>
      <c r="D29" s="36" t="s">
        <v>438</v>
      </c>
      <c r="E29" s="39">
        <v>8293089506</v>
      </c>
      <c r="F29" s="39" t="s">
        <v>439</v>
      </c>
    </row>
    <row r="30" spans="1:6" ht="39" customHeight="1" x14ac:dyDescent="0.25">
      <c r="A30" s="42">
        <f t="shared" si="0"/>
        <v>22</v>
      </c>
      <c r="B30" s="37" t="s">
        <v>271</v>
      </c>
      <c r="C30" s="38" t="s">
        <v>224</v>
      </c>
      <c r="D30" s="36" t="s">
        <v>440</v>
      </c>
      <c r="E30" s="39">
        <v>8097080646</v>
      </c>
      <c r="F30" s="39" t="s">
        <v>416</v>
      </c>
    </row>
    <row r="31" spans="1:6" ht="39" customHeight="1" x14ac:dyDescent="0.25">
      <c r="A31" s="42">
        <f t="shared" si="0"/>
        <v>23</v>
      </c>
      <c r="B31" s="37" t="s">
        <v>271</v>
      </c>
      <c r="C31" s="38" t="s">
        <v>441</v>
      </c>
      <c r="D31" s="36" t="s">
        <v>442</v>
      </c>
      <c r="E31" s="39">
        <v>8099912206</v>
      </c>
      <c r="F31" s="39" t="s">
        <v>416</v>
      </c>
    </row>
    <row r="32" spans="1:6" ht="39" customHeight="1" x14ac:dyDescent="0.25">
      <c r="A32" s="42">
        <f t="shared" si="0"/>
        <v>24</v>
      </c>
      <c r="B32" s="37" t="s">
        <v>271</v>
      </c>
      <c r="C32" s="38" t="s">
        <v>445</v>
      </c>
      <c r="D32" s="36" t="s">
        <v>446</v>
      </c>
      <c r="E32" s="39">
        <v>8099911839</v>
      </c>
      <c r="F32" s="39" t="s">
        <v>416</v>
      </c>
    </row>
    <row r="33" spans="1:6" ht="39" customHeight="1" x14ac:dyDescent="0.25">
      <c r="A33" s="42">
        <f t="shared" si="0"/>
        <v>25</v>
      </c>
      <c r="B33" s="37" t="s">
        <v>271</v>
      </c>
      <c r="C33" s="38" t="s">
        <v>239</v>
      </c>
      <c r="D33" s="36" t="s">
        <v>447</v>
      </c>
      <c r="E33" s="39">
        <v>8099912237</v>
      </c>
      <c r="F33" s="39" t="s">
        <v>416</v>
      </c>
    </row>
    <row r="34" spans="1:6" ht="39" customHeight="1" x14ac:dyDescent="0.25">
      <c r="A34" s="42">
        <f t="shared" si="0"/>
        <v>26</v>
      </c>
      <c r="B34" s="37" t="s">
        <v>271</v>
      </c>
      <c r="C34" s="38" t="s">
        <v>241</v>
      </c>
      <c r="D34" s="36" t="s">
        <v>448</v>
      </c>
      <c r="E34" s="39">
        <v>8098781595</v>
      </c>
      <c r="F34" s="39" t="s">
        <v>416</v>
      </c>
    </row>
    <row r="35" spans="1:6" ht="39" customHeight="1" x14ac:dyDescent="0.25">
      <c r="A35" s="42">
        <f t="shared" si="0"/>
        <v>27</v>
      </c>
      <c r="B35" s="37" t="s">
        <v>271</v>
      </c>
      <c r="C35" s="38" t="s">
        <v>249</v>
      </c>
      <c r="D35" s="36" t="s">
        <v>449</v>
      </c>
      <c r="E35" s="39">
        <v>8099912284</v>
      </c>
      <c r="F35" s="39" t="s">
        <v>443</v>
      </c>
    </row>
    <row r="36" spans="1:6" ht="39" customHeight="1" x14ac:dyDescent="0.25">
      <c r="A36" s="42">
        <f t="shared" si="0"/>
        <v>28</v>
      </c>
      <c r="B36" s="37" t="s">
        <v>271</v>
      </c>
      <c r="C36" s="38" t="s">
        <v>450</v>
      </c>
      <c r="D36" s="36" t="s">
        <v>451</v>
      </c>
      <c r="E36" s="39">
        <v>8299220298</v>
      </c>
      <c r="F36" s="39" t="s">
        <v>443</v>
      </c>
    </row>
    <row r="37" spans="1:6" ht="39" customHeight="1" x14ac:dyDescent="0.25">
      <c r="A37" s="42">
        <f t="shared" si="0"/>
        <v>29</v>
      </c>
      <c r="B37" s="37" t="s">
        <v>271</v>
      </c>
      <c r="C37" s="38" t="s">
        <v>452</v>
      </c>
      <c r="D37" s="36" t="s">
        <v>453</v>
      </c>
      <c r="E37" s="39">
        <v>8099912019</v>
      </c>
      <c r="F37" s="39" t="s">
        <v>454</v>
      </c>
    </row>
    <row r="38" spans="1:6" ht="39" customHeight="1" x14ac:dyDescent="0.25">
      <c r="A38" s="42">
        <f t="shared" si="0"/>
        <v>30</v>
      </c>
      <c r="B38" s="37" t="s">
        <v>271</v>
      </c>
      <c r="C38" s="38" t="s">
        <v>225</v>
      </c>
      <c r="D38" s="36" t="s">
        <v>455</v>
      </c>
      <c r="E38" s="39">
        <v>8099912212</v>
      </c>
      <c r="F38" s="40" t="s">
        <v>418</v>
      </c>
    </row>
    <row r="39" spans="1:6" ht="39" customHeight="1" x14ac:dyDescent="0.25">
      <c r="A39" s="42">
        <f t="shared" si="0"/>
        <v>31</v>
      </c>
      <c r="B39" s="37" t="s">
        <v>271</v>
      </c>
      <c r="C39" s="38" t="s">
        <v>456</v>
      </c>
      <c r="D39" s="36" t="s">
        <v>457</v>
      </c>
      <c r="E39" s="39">
        <v>8099911476</v>
      </c>
      <c r="F39" s="40" t="s">
        <v>418</v>
      </c>
    </row>
    <row r="40" spans="1:6" ht="39" customHeight="1" x14ac:dyDescent="0.25">
      <c r="A40" s="42">
        <f t="shared" si="0"/>
        <v>32</v>
      </c>
      <c r="B40" s="37" t="s">
        <v>271</v>
      </c>
      <c r="C40" s="38" t="s">
        <v>458</v>
      </c>
      <c r="D40" s="36" t="s">
        <v>459</v>
      </c>
      <c r="E40" s="39">
        <v>8098781070</v>
      </c>
      <c r="F40" s="39" t="s">
        <v>443</v>
      </c>
    </row>
    <row r="41" spans="1:6" ht="39" customHeight="1" x14ac:dyDescent="0.25">
      <c r="A41" s="42">
        <f t="shared" si="0"/>
        <v>33</v>
      </c>
      <c r="B41" s="37" t="s">
        <v>271</v>
      </c>
      <c r="C41" s="38" t="s">
        <v>460</v>
      </c>
      <c r="D41" s="36" t="s">
        <v>461</v>
      </c>
      <c r="E41" s="39">
        <v>8097080613</v>
      </c>
      <c r="F41" s="40" t="s">
        <v>418</v>
      </c>
    </row>
    <row r="42" spans="1:6" ht="39" customHeight="1" x14ac:dyDescent="0.25">
      <c r="A42" s="42">
        <f t="shared" si="0"/>
        <v>34</v>
      </c>
      <c r="B42" s="37" t="s">
        <v>271</v>
      </c>
      <c r="C42" s="38" t="s">
        <v>234</v>
      </c>
      <c r="D42" s="36" t="s">
        <v>462</v>
      </c>
      <c r="E42" s="39">
        <v>8099912251</v>
      </c>
      <c r="F42" s="39" t="s">
        <v>454</v>
      </c>
    </row>
    <row r="43" spans="1:6" ht="39" customHeight="1" x14ac:dyDescent="0.25">
      <c r="A43" s="42">
        <f t="shared" si="0"/>
        <v>35</v>
      </c>
      <c r="B43" s="37" t="s">
        <v>271</v>
      </c>
      <c r="C43" s="38" t="s">
        <v>245</v>
      </c>
      <c r="D43" s="36" t="s">
        <v>671</v>
      </c>
      <c r="E43" s="39">
        <v>8099912917</v>
      </c>
      <c r="F43" s="39" t="s">
        <v>416</v>
      </c>
    </row>
    <row r="44" spans="1:6" ht="39" customHeight="1" x14ac:dyDescent="0.25">
      <c r="A44" s="42">
        <f>+A43+1</f>
        <v>36</v>
      </c>
      <c r="B44" s="37" t="s">
        <v>271</v>
      </c>
      <c r="C44" s="38" t="s">
        <v>253</v>
      </c>
      <c r="D44" s="36" t="s">
        <v>463</v>
      </c>
      <c r="E44" s="39">
        <v>8099911708</v>
      </c>
      <c r="F44" s="40" t="s">
        <v>418</v>
      </c>
    </row>
    <row r="45" spans="1:6" ht="39" customHeight="1" x14ac:dyDescent="0.25">
      <c r="A45" s="42">
        <f t="shared" si="0"/>
        <v>37</v>
      </c>
      <c r="B45" s="37" t="s">
        <v>271</v>
      </c>
      <c r="C45" s="36" t="s">
        <v>221</v>
      </c>
      <c r="D45" s="36" t="s">
        <v>650</v>
      </c>
      <c r="E45" s="39">
        <v>8098780230</v>
      </c>
      <c r="F45" s="39" t="s">
        <v>416</v>
      </c>
    </row>
    <row r="46" spans="1:6" ht="39" customHeight="1" x14ac:dyDescent="0.25">
      <c r="A46" s="42">
        <f t="shared" si="0"/>
        <v>38</v>
      </c>
      <c r="B46" s="37" t="s">
        <v>271</v>
      </c>
      <c r="C46" s="36" t="s">
        <v>222</v>
      </c>
      <c r="D46" s="36" t="s">
        <v>651</v>
      </c>
      <c r="E46" s="39">
        <v>8099912695</v>
      </c>
      <c r="F46" s="39" t="s">
        <v>652</v>
      </c>
    </row>
    <row r="47" spans="1:6" ht="39" customHeight="1" x14ac:dyDescent="0.25">
      <c r="A47" s="42">
        <f t="shared" si="0"/>
        <v>39</v>
      </c>
      <c r="B47" s="37" t="s">
        <v>271</v>
      </c>
      <c r="C47" s="36" t="s">
        <v>653</v>
      </c>
      <c r="D47" s="36" t="s">
        <v>654</v>
      </c>
      <c r="E47" s="39">
        <v>8097080629</v>
      </c>
      <c r="F47" s="39" t="s">
        <v>416</v>
      </c>
    </row>
    <row r="48" spans="1:6" ht="39" customHeight="1" x14ac:dyDescent="0.25">
      <c r="A48" s="42">
        <f t="shared" si="0"/>
        <v>40</v>
      </c>
      <c r="B48" s="37" t="s">
        <v>271</v>
      </c>
      <c r="C48" s="36" t="s">
        <v>227</v>
      </c>
      <c r="D48" s="36" t="s">
        <v>655</v>
      </c>
      <c r="E48" s="39">
        <v>8098781567</v>
      </c>
      <c r="F48" s="40" t="s">
        <v>443</v>
      </c>
    </row>
    <row r="49" spans="1:6" ht="39" customHeight="1" x14ac:dyDescent="0.25">
      <c r="A49" s="42">
        <f t="shared" si="0"/>
        <v>41</v>
      </c>
      <c r="B49" s="37" t="s">
        <v>271</v>
      </c>
      <c r="C49" s="38" t="s">
        <v>228</v>
      </c>
      <c r="D49" s="36" t="s">
        <v>656</v>
      </c>
      <c r="E49" s="39">
        <v>8293083474</v>
      </c>
      <c r="F49" s="40" t="s">
        <v>416</v>
      </c>
    </row>
    <row r="50" spans="1:6" ht="39" customHeight="1" x14ac:dyDescent="0.25">
      <c r="A50" s="42">
        <f t="shared" si="0"/>
        <v>42</v>
      </c>
      <c r="B50" s="37" t="s">
        <v>271</v>
      </c>
      <c r="C50" s="38" t="s">
        <v>229</v>
      </c>
      <c r="D50" s="36" t="s">
        <v>657</v>
      </c>
      <c r="E50" s="39">
        <v>8299220116</v>
      </c>
      <c r="F50" s="40" t="s">
        <v>444</v>
      </c>
    </row>
    <row r="51" spans="1:6" ht="39" customHeight="1" x14ac:dyDescent="0.25">
      <c r="A51" s="42">
        <f t="shared" si="0"/>
        <v>43</v>
      </c>
      <c r="B51" s="37" t="s">
        <v>271</v>
      </c>
      <c r="C51" s="38" t="s">
        <v>231</v>
      </c>
      <c r="D51" s="36" t="s">
        <v>658</v>
      </c>
      <c r="E51" s="39">
        <v>8299220198</v>
      </c>
      <c r="F51" s="40" t="s">
        <v>416</v>
      </c>
    </row>
    <row r="52" spans="1:6" ht="39" customHeight="1" x14ac:dyDescent="0.25">
      <c r="A52" s="42">
        <f t="shared" si="0"/>
        <v>44</v>
      </c>
      <c r="B52" s="37" t="s">
        <v>271</v>
      </c>
      <c r="C52" s="38" t="s">
        <v>232</v>
      </c>
      <c r="D52" s="36" t="s">
        <v>659</v>
      </c>
      <c r="E52" s="39">
        <v>8099910868</v>
      </c>
      <c r="F52" s="40" t="s">
        <v>652</v>
      </c>
    </row>
    <row r="53" spans="1:6" ht="39" customHeight="1" x14ac:dyDescent="0.25">
      <c r="A53" s="42">
        <f t="shared" si="0"/>
        <v>45</v>
      </c>
      <c r="B53" s="37" t="s">
        <v>271</v>
      </c>
      <c r="C53" s="38" t="s">
        <v>233</v>
      </c>
      <c r="D53" s="36" t="s">
        <v>660</v>
      </c>
      <c r="E53" s="39">
        <v>8098780999</v>
      </c>
      <c r="F53" s="40" t="s">
        <v>416</v>
      </c>
    </row>
    <row r="54" spans="1:6" ht="39" customHeight="1" x14ac:dyDescent="0.25">
      <c r="A54" s="42">
        <f t="shared" si="0"/>
        <v>46</v>
      </c>
      <c r="B54" s="37" t="s">
        <v>271</v>
      </c>
      <c r="C54" s="38" t="s">
        <v>235</v>
      </c>
      <c r="D54" s="36" t="s">
        <v>661</v>
      </c>
      <c r="E54" s="39">
        <v>8099912024</v>
      </c>
      <c r="F54" s="40" t="s">
        <v>443</v>
      </c>
    </row>
    <row r="55" spans="1:6" ht="39" customHeight="1" x14ac:dyDescent="0.25">
      <c r="A55" s="42">
        <f t="shared" si="0"/>
        <v>47</v>
      </c>
      <c r="B55" s="37" t="s">
        <v>271</v>
      </c>
      <c r="C55" s="38" t="s">
        <v>236</v>
      </c>
      <c r="D55" s="36" t="s">
        <v>662</v>
      </c>
      <c r="E55" s="39">
        <v>8098780150</v>
      </c>
      <c r="F55" s="40" t="s">
        <v>416</v>
      </c>
    </row>
    <row r="56" spans="1:6" ht="39" customHeight="1" x14ac:dyDescent="0.25">
      <c r="A56" s="42">
        <f t="shared" si="0"/>
        <v>48</v>
      </c>
      <c r="B56" s="37" t="s">
        <v>271</v>
      </c>
      <c r="C56" s="38" t="s">
        <v>237</v>
      </c>
      <c r="D56" s="36" t="s">
        <v>663</v>
      </c>
      <c r="E56" s="39">
        <v>8098780228</v>
      </c>
      <c r="F56" s="40" t="s">
        <v>416</v>
      </c>
    </row>
    <row r="57" spans="1:6" ht="39" customHeight="1" x14ac:dyDescent="0.25">
      <c r="A57" s="42">
        <f t="shared" si="0"/>
        <v>49</v>
      </c>
      <c r="B57" s="37" t="s">
        <v>271</v>
      </c>
      <c r="C57" s="38" t="s">
        <v>238</v>
      </c>
      <c r="D57" s="36"/>
      <c r="E57" s="39">
        <v>8099912213</v>
      </c>
      <c r="F57" s="40" t="s">
        <v>416</v>
      </c>
    </row>
    <row r="58" spans="1:6" ht="39" customHeight="1" x14ac:dyDescent="0.25">
      <c r="A58" s="42">
        <f t="shared" si="0"/>
        <v>50</v>
      </c>
      <c r="B58" s="37" t="s">
        <v>271</v>
      </c>
      <c r="C58" s="38" t="s">
        <v>240</v>
      </c>
      <c r="D58" s="36" t="s">
        <v>664</v>
      </c>
      <c r="E58" s="39">
        <v>8099911710</v>
      </c>
      <c r="F58" s="40" t="s">
        <v>665</v>
      </c>
    </row>
    <row r="59" spans="1:6" ht="39" customHeight="1" x14ac:dyDescent="0.25">
      <c r="A59" s="42">
        <f t="shared" si="0"/>
        <v>51</v>
      </c>
      <c r="B59" s="37" t="s">
        <v>271</v>
      </c>
      <c r="C59" s="38" t="s">
        <v>666</v>
      </c>
      <c r="D59" s="36" t="s">
        <v>667</v>
      </c>
      <c r="E59" s="39">
        <v>8293089520</v>
      </c>
      <c r="F59" s="40" t="s">
        <v>416</v>
      </c>
    </row>
    <row r="60" spans="1:6" ht="39" customHeight="1" x14ac:dyDescent="0.25">
      <c r="A60" s="42">
        <f t="shared" si="0"/>
        <v>52</v>
      </c>
      <c r="B60" s="37" t="s">
        <v>271</v>
      </c>
      <c r="C60" s="38" t="s">
        <v>242</v>
      </c>
      <c r="D60" s="36" t="s">
        <v>668</v>
      </c>
      <c r="E60" s="39">
        <v>8293089029</v>
      </c>
      <c r="F60" s="40" t="s">
        <v>416</v>
      </c>
    </row>
    <row r="61" spans="1:6" ht="39" customHeight="1" x14ac:dyDescent="0.25">
      <c r="A61" s="42">
        <f t="shared" si="0"/>
        <v>53</v>
      </c>
      <c r="B61" s="37" t="s">
        <v>271</v>
      </c>
      <c r="C61" s="38" t="s">
        <v>243</v>
      </c>
      <c r="D61" s="36" t="s">
        <v>669</v>
      </c>
      <c r="E61" s="39">
        <v>8099910863</v>
      </c>
      <c r="F61" s="40" t="s">
        <v>416</v>
      </c>
    </row>
    <row r="62" spans="1:6" ht="39" customHeight="1" x14ac:dyDescent="0.25">
      <c r="A62" s="42">
        <f t="shared" si="0"/>
        <v>54</v>
      </c>
      <c r="B62" s="37" t="s">
        <v>271</v>
      </c>
      <c r="C62" s="38" t="s">
        <v>244</v>
      </c>
      <c r="D62" s="36" t="s">
        <v>670</v>
      </c>
      <c r="E62" s="39">
        <v>8299220165</v>
      </c>
      <c r="F62" s="40" t="s">
        <v>416</v>
      </c>
    </row>
    <row r="63" spans="1:6" ht="39" customHeight="1" x14ac:dyDescent="0.25">
      <c r="A63" s="42">
        <f t="shared" si="0"/>
        <v>55</v>
      </c>
      <c r="B63" s="37" t="s">
        <v>271</v>
      </c>
      <c r="C63" s="38" t="s">
        <v>245</v>
      </c>
      <c r="D63" s="36" t="s">
        <v>671</v>
      </c>
      <c r="E63" s="39">
        <v>8099912917</v>
      </c>
      <c r="F63" s="40" t="s">
        <v>416</v>
      </c>
    </row>
    <row r="64" spans="1:6" ht="39" customHeight="1" x14ac:dyDescent="0.25">
      <c r="A64" s="42">
        <f t="shared" si="0"/>
        <v>56</v>
      </c>
      <c r="B64" s="37" t="s">
        <v>271</v>
      </c>
      <c r="C64" s="38" t="s">
        <v>246</v>
      </c>
      <c r="D64" s="36" t="s">
        <v>672</v>
      </c>
      <c r="E64" s="39">
        <v>8293089502</v>
      </c>
      <c r="F64" s="40" t="s">
        <v>416</v>
      </c>
    </row>
    <row r="65" spans="1:6" ht="39" customHeight="1" x14ac:dyDescent="0.25">
      <c r="A65" s="42">
        <f t="shared" si="0"/>
        <v>57</v>
      </c>
      <c r="B65" s="37" t="s">
        <v>271</v>
      </c>
      <c r="C65" s="38" t="s">
        <v>673</v>
      </c>
      <c r="D65" s="36" t="s">
        <v>674</v>
      </c>
      <c r="E65" s="39">
        <v>8293089637</v>
      </c>
      <c r="F65" s="40" t="s">
        <v>416</v>
      </c>
    </row>
    <row r="66" spans="1:6" ht="39" customHeight="1" x14ac:dyDescent="0.25">
      <c r="A66" s="42">
        <f t="shared" si="0"/>
        <v>58</v>
      </c>
      <c r="B66" s="37" t="s">
        <v>271</v>
      </c>
      <c r="C66" s="38" t="s">
        <v>248</v>
      </c>
      <c r="D66" s="36" t="s">
        <v>675</v>
      </c>
      <c r="E66" s="39">
        <v>8097151578</v>
      </c>
      <c r="F66" s="40" t="s">
        <v>416</v>
      </c>
    </row>
    <row r="67" spans="1:6" ht="39" customHeight="1" x14ac:dyDescent="0.25">
      <c r="A67" s="42">
        <f t="shared" si="0"/>
        <v>59</v>
      </c>
      <c r="B67" s="37" t="s">
        <v>271</v>
      </c>
      <c r="C67" s="38" t="s">
        <v>251</v>
      </c>
      <c r="D67" s="36" t="s">
        <v>676</v>
      </c>
      <c r="E67" s="39">
        <v>8099912460</v>
      </c>
      <c r="F67" s="40" t="s">
        <v>416</v>
      </c>
    </row>
    <row r="68" spans="1:6" ht="39" customHeight="1" x14ac:dyDescent="0.25">
      <c r="A68" s="42">
        <f t="shared" si="0"/>
        <v>60</v>
      </c>
      <c r="B68" s="37" t="s">
        <v>271</v>
      </c>
      <c r="C68" s="38" t="s">
        <v>252</v>
      </c>
      <c r="D68" s="36" t="s">
        <v>677</v>
      </c>
      <c r="E68" s="39">
        <v>8299220641</v>
      </c>
      <c r="F68" s="40" t="s">
        <v>416</v>
      </c>
    </row>
    <row r="69" spans="1:6" ht="39" customHeight="1" x14ac:dyDescent="0.25">
      <c r="A69" s="42">
        <f t="shared" si="0"/>
        <v>61</v>
      </c>
      <c r="B69" s="37" t="s">
        <v>271</v>
      </c>
      <c r="C69" s="38" t="s">
        <v>254</v>
      </c>
      <c r="D69" s="36" t="s">
        <v>678</v>
      </c>
      <c r="E69" s="39">
        <v>8097080639</v>
      </c>
      <c r="F69" s="40" t="s">
        <v>416</v>
      </c>
    </row>
    <row r="70" spans="1:6" ht="39" customHeight="1" x14ac:dyDescent="0.25">
      <c r="A70" s="42">
        <f>+A69+1</f>
        <v>62</v>
      </c>
      <c r="B70" s="37" t="s">
        <v>55</v>
      </c>
      <c r="C70" s="38" t="s">
        <v>65</v>
      </c>
      <c r="D70" s="36" t="s">
        <v>464</v>
      </c>
      <c r="E70" s="39">
        <v>8293089041</v>
      </c>
      <c r="F70" s="39" t="s">
        <v>443</v>
      </c>
    </row>
    <row r="71" spans="1:6" ht="39" customHeight="1" x14ac:dyDescent="0.25">
      <c r="A71" s="42">
        <f t="shared" si="0"/>
        <v>63</v>
      </c>
      <c r="B71" s="37" t="s">
        <v>55</v>
      </c>
      <c r="C71" s="38" t="s">
        <v>56</v>
      </c>
      <c r="D71" s="36" t="s">
        <v>465</v>
      </c>
      <c r="E71" s="39">
        <v>8099912954</v>
      </c>
      <c r="F71" s="39" t="s">
        <v>416</v>
      </c>
    </row>
    <row r="72" spans="1:6" ht="39" customHeight="1" x14ac:dyDescent="0.25">
      <c r="A72" s="42">
        <f t="shared" si="0"/>
        <v>64</v>
      </c>
      <c r="B72" s="37" t="s">
        <v>55</v>
      </c>
      <c r="C72" s="38" t="s">
        <v>61</v>
      </c>
      <c r="D72" s="36" t="s">
        <v>466</v>
      </c>
      <c r="E72" s="39">
        <v>8099913149</v>
      </c>
      <c r="F72" s="39" t="s">
        <v>416</v>
      </c>
    </row>
    <row r="73" spans="1:6" ht="39" customHeight="1" x14ac:dyDescent="0.25">
      <c r="A73" s="42">
        <f t="shared" si="0"/>
        <v>65</v>
      </c>
      <c r="B73" s="37" t="s">
        <v>55</v>
      </c>
      <c r="C73" s="38" t="s">
        <v>62</v>
      </c>
      <c r="D73" s="36" t="s">
        <v>467</v>
      </c>
      <c r="E73" s="39">
        <v>8099912232</v>
      </c>
      <c r="F73" s="40" t="s">
        <v>418</v>
      </c>
    </row>
    <row r="74" spans="1:6" ht="39" customHeight="1" x14ac:dyDescent="0.25">
      <c r="A74" s="42">
        <f t="shared" si="0"/>
        <v>66</v>
      </c>
      <c r="B74" s="37" t="s">
        <v>55</v>
      </c>
      <c r="C74" s="38" t="s">
        <v>63</v>
      </c>
      <c r="D74" s="36" t="s">
        <v>468</v>
      </c>
      <c r="E74" s="39">
        <v>8097080781</v>
      </c>
      <c r="F74" s="39" t="s">
        <v>416</v>
      </c>
    </row>
    <row r="75" spans="1:6" ht="39" customHeight="1" x14ac:dyDescent="0.25">
      <c r="A75" s="42">
        <f t="shared" si="0"/>
        <v>67</v>
      </c>
      <c r="B75" s="37" t="s">
        <v>55</v>
      </c>
      <c r="C75" s="38" t="s">
        <v>64</v>
      </c>
      <c r="D75" s="36" t="s">
        <v>469</v>
      </c>
      <c r="E75" s="39">
        <v>8098780227</v>
      </c>
      <c r="F75" s="39" t="s">
        <v>416</v>
      </c>
    </row>
    <row r="76" spans="1:6" ht="39" customHeight="1" x14ac:dyDescent="0.25">
      <c r="A76" s="42">
        <f t="shared" si="0"/>
        <v>68</v>
      </c>
      <c r="B76" s="37" t="s">
        <v>55</v>
      </c>
      <c r="C76" s="38" t="s">
        <v>66</v>
      </c>
      <c r="D76" s="36" t="s">
        <v>470</v>
      </c>
      <c r="E76" s="39">
        <v>8099913188</v>
      </c>
      <c r="F76" s="39" t="s">
        <v>416</v>
      </c>
    </row>
    <row r="77" spans="1:6" ht="39" customHeight="1" x14ac:dyDescent="0.25">
      <c r="A77" s="42">
        <f t="shared" si="0"/>
        <v>69</v>
      </c>
      <c r="B77" s="37" t="s">
        <v>55</v>
      </c>
      <c r="C77" s="38" t="s">
        <v>67</v>
      </c>
      <c r="D77" s="36" t="s">
        <v>471</v>
      </c>
      <c r="E77" s="39">
        <v>8098780234</v>
      </c>
      <c r="F77" s="39" t="s">
        <v>416</v>
      </c>
    </row>
    <row r="78" spans="1:6" ht="39" customHeight="1" x14ac:dyDescent="0.25">
      <c r="A78" s="42">
        <f t="shared" si="0"/>
        <v>70</v>
      </c>
      <c r="B78" s="37" t="s">
        <v>55</v>
      </c>
      <c r="C78" s="36" t="s">
        <v>58</v>
      </c>
      <c r="D78" s="36" t="s">
        <v>472</v>
      </c>
      <c r="E78" s="39">
        <v>8299220661</v>
      </c>
      <c r="F78" s="39" t="s">
        <v>416</v>
      </c>
    </row>
    <row r="79" spans="1:6" ht="39" customHeight="1" x14ac:dyDescent="0.25">
      <c r="A79" s="42">
        <f t="shared" si="0"/>
        <v>71</v>
      </c>
      <c r="B79" s="37" t="s">
        <v>55</v>
      </c>
      <c r="C79" s="36" t="s">
        <v>59</v>
      </c>
      <c r="D79" s="36" t="s">
        <v>473</v>
      </c>
      <c r="E79" s="39">
        <v>8097080780</v>
      </c>
      <c r="F79" s="39" t="s">
        <v>416</v>
      </c>
    </row>
    <row r="80" spans="1:6" ht="39" customHeight="1" x14ac:dyDescent="0.25">
      <c r="A80" s="42">
        <f t="shared" si="0"/>
        <v>72</v>
      </c>
      <c r="B80" s="37" t="s">
        <v>55</v>
      </c>
      <c r="C80" s="36" t="s">
        <v>60</v>
      </c>
      <c r="D80" s="36" t="s">
        <v>474</v>
      </c>
      <c r="E80" s="39">
        <v>8099913089</v>
      </c>
      <c r="F80" s="39" t="s">
        <v>416</v>
      </c>
    </row>
    <row r="81" spans="1:6" ht="39" customHeight="1" x14ac:dyDescent="0.25">
      <c r="A81" s="42">
        <f t="shared" si="0"/>
        <v>73</v>
      </c>
      <c r="B81" s="37" t="s">
        <v>55</v>
      </c>
      <c r="C81" s="36" t="s">
        <v>57</v>
      </c>
      <c r="D81" s="36" t="s">
        <v>679</v>
      </c>
      <c r="E81" s="39">
        <v>8293089605</v>
      </c>
      <c r="F81" s="39" t="s">
        <v>416</v>
      </c>
    </row>
    <row r="82" spans="1:6" ht="39" customHeight="1" x14ac:dyDescent="0.25">
      <c r="A82" s="42">
        <f t="shared" si="0"/>
        <v>74</v>
      </c>
      <c r="B82" s="37" t="s">
        <v>55</v>
      </c>
      <c r="C82" s="36" t="s">
        <v>68</v>
      </c>
      <c r="D82" s="36" t="s">
        <v>680</v>
      </c>
      <c r="E82" s="39">
        <v>8099913154</v>
      </c>
      <c r="F82" s="39" t="s">
        <v>416</v>
      </c>
    </row>
    <row r="83" spans="1:6" ht="39" customHeight="1" x14ac:dyDescent="0.25">
      <c r="A83" s="42">
        <f>+A82+1</f>
        <v>75</v>
      </c>
      <c r="B83" s="37" t="s">
        <v>475</v>
      </c>
      <c r="C83" s="36" t="s">
        <v>476</v>
      </c>
      <c r="D83" s="36" t="s">
        <v>477</v>
      </c>
      <c r="E83" s="39">
        <v>8293089517</v>
      </c>
      <c r="F83" s="39" t="s">
        <v>416</v>
      </c>
    </row>
    <row r="84" spans="1:6" ht="39" customHeight="1" x14ac:dyDescent="0.25">
      <c r="A84" s="42">
        <f t="shared" si="0"/>
        <v>76</v>
      </c>
      <c r="B84" s="37" t="s">
        <v>475</v>
      </c>
      <c r="C84" s="36" t="s">
        <v>478</v>
      </c>
      <c r="D84" s="36" t="s">
        <v>479</v>
      </c>
      <c r="E84" s="39">
        <v>8098780148</v>
      </c>
      <c r="F84" s="39" t="s">
        <v>416</v>
      </c>
    </row>
    <row r="85" spans="1:6" ht="39" customHeight="1" x14ac:dyDescent="0.25">
      <c r="A85" s="42">
        <f t="shared" si="0"/>
        <v>77</v>
      </c>
      <c r="B85" s="37" t="s">
        <v>475</v>
      </c>
      <c r="C85" s="36" t="s">
        <v>70</v>
      </c>
      <c r="D85" s="36" t="s">
        <v>681</v>
      </c>
      <c r="E85" s="39">
        <v>8293089668</v>
      </c>
      <c r="F85" s="39" t="s">
        <v>443</v>
      </c>
    </row>
    <row r="86" spans="1:6" ht="39" customHeight="1" x14ac:dyDescent="0.25">
      <c r="A86" s="42">
        <f t="shared" si="0"/>
        <v>78</v>
      </c>
      <c r="B86" s="37" t="s">
        <v>71</v>
      </c>
      <c r="C86" s="38" t="s">
        <v>72</v>
      </c>
      <c r="D86" s="36" t="s">
        <v>480</v>
      </c>
      <c r="E86" s="39">
        <v>8099912867</v>
      </c>
      <c r="F86" s="39" t="s">
        <v>481</v>
      </c>
    </row>
    <row r="87" spans="1:6" ht="39" customHeight="1" x14ac:dyDescent="0.25">
      <c r="A87" s="42">
        <f t="shared" si="0"/>
        <v>79</v>
      </c>
      <c r="B87" s="37" t="s">
        <v>71</v>
      </c>
      <c r="C87" s="38" t="s">
        <v>482</v>
      </c>
      <c r="D87" s="36" t="s">
        <v>483</v>
      </c>
      <c r="E87" s="39">
        <v>8097080573</v>
      </c>
      <c r="F87" s="39" t="s">
        <v>416</v>
      </c>
    </row>
    <row r="88" spans="1:6" ht="39" customHeight="1" x14ac:dyDescent="0.25">
      <c r="A88" s="42">
        <f t="shared" si="0"/>
        <v>80</v>
      </c>
      <c r="B88" s="37" t="s">
        <v>71</v>
      </c>
      <c r="C88" s="38" t="s">
        <v>75</v>
      </c>
      <c r="D88" s="36" t="s">
        <v>484</v>
      </c>
      <c r="E88" s="39">
        <v>8097080056</v>
      </c>
      <c r="F88" s="39" t="s">
        <v>416</v>
      </c>
    </row>
    <row r="89" spans="1:6" ht="39" customHeight="1" x14ac:dyDescent="0.25">
      <c r="A89" s="42">
        <f t="shared" si="0"/>
        <v>81</v>
      </c>
      <c r="B89" s="37" t="s">
        <v>71</v>
      </c>
      <c r="C89" s="36" t="s">
        <v>74</v>
      </c>
      <c r="D89" s="36" t="s">
        <v>485</v>
      </c>
      <c r="E89" s="39">
        <v>8099912519</v>
      </c>
      <c r="F89" s="39" t="s">
        <v>416</v>
      </c>
    </row>
    <row r="90" spans="1:6" ht="39" customHeight="1" x14ac:dyDescent="0.25">
      <c r="A90" s="42">
        <f t="shared" si="0"/>
        <v>82</v>
      </c>
      <c r="B90" s="38" t="s">
        <v>76</v>
      </c>
      <c r="C90" s="38" t="s">
        <v>80</v>
      </c>
      <c r="D90" s="38" t="s">
        <v>487</v>
      </c>
      <c r="E90" s="39">
        <v>8498046794</v>
      </c>
      <c r="F90" s="39" t="s">
        <v>486</v>
      </c>
    </row>
    <row r="91" spans="1:6" ht="39" customHeight="1" x14ac:dyDescent="0.25">
      <c r="A91" s="42">
        <f t="shared" si="0"/>
        <v>83</v>
      </c>
      <c r="B91" s="38" t="s">
        <v>76</v>
      </c>
      <c r="C91" s="38" t="s">
        <v>82</v>
      </c>
      <c r="D91" s="38" t="s">
        <v>488</v>
      </c>
      <c r="E91" s="39">
        <v>8498046785</v>
      </c>
      <c r="F91" s="40" t="s">
        <v>418</v>
      </c>
    </row>
    <row r="92" spans="1:6" ht="39" customHeight="1" x14ac:dyDescent="0.25">
      <c r="A92" s="42">
        <f t="shared" si="0"/>
        <v>84</v>
      </c>
      <c r="B92" s="38" t="s">
        <v>76</v>
      </c>
      <c r="C92" s="38" t="s">
        <v>84</v>
      </c>
      <c r="D92" s="38" t="s">
        <v>489</v>
      </c>
      <c r="E92" s="39">
        <v>8498047629</v>
      </c>
      <c r="F92" s="39" t="s">
        <v>416</v>
      </c>
    </row>
    <row r="93" spans="1:6" ht="39" customHeight="1" x14ac:dyDescent="0.25">
      <c r="A93" s="42">
        <f t="shared" si="0"/>
        <v>85</v>
      </c>
      <c r="B93" s="38" t="s">
        <v>76</v>
      </c>
      <c r="C93" s="38" t="s">
        <v>83</v>
      </c>
      <c r="D93" s="38" t="s">
        <v>490</v>
      </c>
      <c r="E93" s="39">
        <v>8293088875</v>
      </c>
      <c r="F93" s="39" t="s">
        <v>416</v>
      </c>
    </row>
    <row r="94" spans="1:6" ht="39" customHeight="1" x14ac:dyDescent="0.25">
      <c r="A94" s="42">
        <f t="shared" si="0"/>
        <v>86</v>
      </c>
      <c r="B94" s="38" t="s">
        <v>76</v>
      </c>
      <c r="C94" s="38" t="s">
        <v>77</v>
      </c>
      <c r="D94" s="38" t="s">
        <v>682</v>
      </c>
      <c r="E94" s="39">
        <v>8299220374</v>
      </c>
      <c r="F94" s="39" t="s">
        <v>416</v>
      </c>
    </row>
    <row r="95" spans="1:6" ht="39" customHeight="1" x14ac:dyDescent="0.25">
      <c r="A95" s="42">
        <f t="shared" si="0"/>
        <v>87</v>
      </c>
      <c r="B95" s="38" t="s">
        <v>76</v>
      </c>
      <c r="C95" s="38" t="s">
        <v>78</v>
      </c>
      <c r="D95" s="38" t="s">
        <v>683</v>
      </c>
      <c r="E95" s="39">
        <v>8498046936</v>
      </c>
      <c r="F95" s="39" t="s">
        <v>486</v>
      </c>
    </row>
    <row r="96" spans="1:6" ht="39" customHeight="1" x14ac:dyDescent="0.25">
      <c r="A96" s="42">
        <f t="shared" si="0"/>
        <v>88</v>
      </c>
      <c r="B96" s="38" t="s">
        <v>76</v>
      </c>
      <c r="C96" s="38" t="s">
        <v>81</v>
      </c>
      <c r="D96" s="38" t="s">
        <v>684</v>
      </c>
      <c r="E96" s="39">
        <v>8498046846</v>
      </c>
      <c r="F96" s="39" t="s">
        <v>416</v>
      </c>
    </row>
    <row r="97" spans="1:6" ht="39" customHeight="1" x14ac:dyDescent="0.25">
      <c r="A97" s="42">
        <f t="shared" si="0"/>
        <v>89</v>
      </c>
      <c r="B97" s="38" t="s">
        <v>76</v>
      </c>
      <c r="C97" s="38" t="s">
        <v>85</v>
      </c>
      <c r="D97" s="38" t="s">
        <v>685</v>
      </c>
      <c r="E97" s="39">
        <v>8099912279</v>
      </c>
      <c r="F97" s="39" t="s">
        <v>416</v>
      </c>
    </row>
    <row r="98" spans="1:6" ht="39" customHeight="1" x14ac:dyDescent="0.25">
      <c r="A98" s="42">
        <f t="shared" si="0"/>
        <v>90</v>
      </c>
      <c r="B98" s="38" t="s">
        <v>491</v>
      </c>
      <c r="C98" s="38" t="s">
        <v>88</v>
      </c>
      <c r="D98" s="38" t="s">
        <v>492</v>
      </c>
      <c r="E98" s="39">
        <v>8299224281</v>
      </c>
      <c r="F98" s="39" t="s">
        <v>416</v>
      </c>
    </row>
    <row r="99" spans="1:6" ht="39" customHeight="1" x14ac:dyDescent="0.25">
      <c r="A99" s="42">
        <f t="shared" si="0"/>
        <v>91</v>
      </c>
      <c r="B99" s="38" t="s">
        <v>491</v>
      </c>
      <c r="C99" s="38" t="s">
        <v>89</v>
      </c>
      <c r="D99" s="38" t="s">
        <v>493</v>
      </c>
      <c r="E99" s="39">
        <v>8099912991</v>
      </c>
      <c r="F99" s="39" t="s">
        <v>416</v>
      </c>
    </row>
    <row r="100" spans="1:6" ht="39" customHeight="1" x14ac:dyDescent="0.25">
      <c r="A100" s="42">
        <f t="shared" si="0"/>
        <v>92</v>
      </c>
      <c r="B100" s="38" t="s">
        <v>491</v>
      </c>
      <c r="C100" s="38" t="s">
        <v>87</v>
      </c>
      <c r="D100" s="38" t="s">
        <v>686</v>
      </c>
      <c r="E100" s="39">
        <v>8299224069</v>
      </c>
      <c r="F100" s="39" t="s">
        <v>416</v>
      </c>
    </row>
    <row r="101" spans="1:6" ht="39" customHeight="1" x14ac:dyDescent="0.25">
      <c r="A101" s="42">
        <f t="shared" si="0"/>
        <v>93</v>
      </c>
      <c r="B101" s="38" t="s">
        <v>90</v>
      </c>
      <c r="C101" s="38" t="s">
        <v>494</v>
      </c>
      <c r="D101" s="38" t="s">
        <v>495</v>
      </c>
      <c r="E101" s="39">
        <v>8498046673</v>
      </c>
      <c r="F101" s="39" t="s">
        <v>443</v>
      </c>
    </row>
    <row r="102" spans="1:6" ht="39" customHeight="1" x14ac:dyDescent="0.25">
      <c r="A102" s="42">
        <f t="shared" si="0"/>
        <v>94</v>
      </c>
      <c r="B102" s="38" t="s">
        <v>90</v>
      </c>
      <c r="C102" s="38" t="s">
        <v>91</v>
      </c>
      <c r="D102" s="38" t="s">
        <v>496</v>
      </c>
      <c r="E102" s="39">
        <v>8099913722</v>
      </c>
      <c r="F102" s="40" t="s">
        <v>418</v>
      </c>
    </row>
    <row r="103" spans="1:6" ht="39" customHeight="1" x14ac:dyDescent="0.25">
      <c r="A103" s="42">
        <f t="shared" si="0"/>
        <v>95</v>
      </c>
      <c r="B103" s="38" t="s">
        <v>90</v>
      </c>
      <c r="C103" s="38" t="s">
        <v>92</v>
      </c>
      <c r="D103" s="38" t="s">
        <v>497</v>
      </c>
      <c r="E103" s="39">
        <v>8099911866</v>
      </c>
      <c r="F103" s="39" t="s">
        <v>443</v>
      </c>
    </row>
    <row r="104" spans="1:6" ht="39" customHeight="1" x14ac:dyDescent="0.25">
      <c r="A104" s="42">
        <f t="shared" si="0"/>
        <v>96</v>
      </c>
      <c r="B104" s="38" t="s">
        <v>94</v>
      </c>
      <c r="C104" s="38" t="s">
        <v>95</v>
      </c>
      <c r="D104" s="38" t="s">
        <v>498</v>
      </c>
      <c r="E104" s="39">
        <v>8097080564</v>
      </c>
      <c r="F104" s="39" t="s">
        <v>418</v>
      </c>
    </row>
    <row r="105" spans="1:6" ht="39" customHeight="1" x14ac:dyDescent="0.25">
      <c r="A105" s="42">
        <f t="shared" si="0"/>
        <v>97</v>
      </c>
      <c r="B105" s="38" t="s">
        <v>94</v>
      </c>
      <c r="C105" s="38" t="s">
        <v>98</v>
      </c>
      <c r="D105" s="38" t="s">
        <v>499</v>
      </c>
      <c r="E105" s="39">
        <v>8099912950</v>
      </c>
      <c r="F105" s="39" t="s">
        <v>418</v>
      </c>
    </row>
    <row r="106" spans="1:6" ht="39" customHeight="1" x14ac:dyDescent="0.25">
      <c r="A106" s="42">
        <f t="shared" si="0"/>
        <v>98</v>
      </c>
      <c r="B106" s="38" t="s">
        <v>94</v>
      </c>
      <c r="C106" s="38" t="s">
        <v>96</v>
      </c>
      <c r="D106" s="38" t="s">
        <v>500</v>
      </c>
      <c r="E106" s="39">
        <v>8098781433</v>
      </c>
      <c r="F106" s="39" t="s">
        <v>416</v>
      </c>
    </row>
    <row r="107" spans="1:6" ht="39" customHeight="1" x14ac:dyDescent="0.25">
      <c r="A107" s="42">
        <f t="shared" si="0"/>
        <v>99</v>
      </c>
      <c r="B107" s="38" t="s">
        <v>94</v>
      </c>
      <c r="C107" s="38" t="s">
        <v>97</v>
      </c>
      <c r="D107" s="38" t="s">
        <v>501</v>
      </c>
      <c r="E107" s="39">
        <v>8099910746</v>
      </c>
      <c r="F107" s="39" t="s">
        <v>416</v>
      </c>
    </row>
    <row r="108" spans="1:6" ht="39" customHeight="1" x14ac:dyDescent="0.25">
      <c r="A108" s="42">
        <f t="shared" si="0"/>
        <v>100</v>
      </c>
      <c r="B108" s="38" t="s">
        <v>23</v>
      </c>
      <c r="C108" s="38" t="s">
        <v>24</v>
      </c>
      <c r="D108" s="38" t="s">
        <v>502</v>
      </c>
      <c r="E108" s="39">
        <v>8098029689</v>
      </c>
      <c r="F108" s="39" t="s">
        <v>486</v>
      </c>
    </row>
    <row r="109" spans="1:6" ht="39" customHeight="1" x14ac:dyDescent="0.25">
      <c r="A109" s="42">
        <f t="shared" si="0"/>
        <v>101</v>
      </c>
      <c r="B109" s="38" t="s">
        <v>23</v>
      </c>
      <c r="C109" s="38" t="s">
        <v>26</v>
      </c>
      <c r="D109" s="38" t="s">
        <v>503</v>
      </c>
      <c r="E109" s="39">
        <v>8099912486</v>
      </c>
      <c r="F109" s="39" t="s">
        <v>486</v>
      </c>
    </row>
    <row r="110" spans="1:6" ht="39" customHeight="1" x14ac:dyDescent="0.25">
      <c r="A110" s="42">
        <f t="shared" si="0"/>
        <v>102</v>
      </c>
      <c r="B110" s="38" t="s">
        <v>23</v>
      </c>
      <c r="C110" s="38" t="s">
        <v>25</v>
      </c>
      <c r="D110" s="38" t="s">
        <v>504</v>
      </c>
      <c r="E110" s="39">
        <v>8099912492</v>
      </c>
      <c r="F110" s="39" t="s">
        <v>416</v>
      </c>
    </row>
    <row r="111" spans="1:6" ht="39" customHeight="1" x14ac:dyDescent="0.25">
      <c r="A111" s="42">
        <f t="shared" si="0"/>
        <v>103</v>
      </c>
      <c r="B111" s="38" t="s">
        <v>23</v>
      </c>
      <c r="C111" s="38" t="s">
        <v>27</v>
      </c>
      <c r="D111" s="38" t="s">
        <v>687</v>
      </c>
      <c r="E111" s="39">
        <v>8299220315</v>
      </c>
      <c r="F111" s="39" t="s">
        <v>416</v>
      </c>
    </row>
    <row r="112" spans="1:6" ht="39" customHeight="1" x14ac:dyDescent="0.25">
      <c r="A112" s="42">
        <f t="shared" ref="A112:A118" si="1">+A111+1</f>
        <v>104</v>
      </c>
      <c r="B112" s="38" t="s">
        <v>23</v>
      </c>
      <c r="C112" s="38" t="s">
        <v>28</v>
      </c>
      <c r="D112" s="38" t="s">
        <v>688</v>
      </c>
      <c r="E112" s="39">
        <v>8293088408</v>
      </c>
      <c r="F112" s="39" t="s">
        <v>486</v>
      </c>
    </row>
    <row r="113" spans="1:6" ht="39" customHeight="1" x14ac:dyDescent="0.25">
      <c r="A113" s="42">
        <f t="shared" si="1"/>
        <v>105</v>
      </c>
      <c r="B113" s="38" t="s">
        <v>23</v>
      </c>
      <c r="C113" s="38" t="s">
        <v>331</v>
      </c>
      <c r="D113" s="38" t="s">
        <v>689</v>
      </c>
      <c r="E113" s="39" t="s">
        <v>690</v>
      </c>
      <c r="F113" s="39" t="s">
        <v>416</v>
      </c>
    </row>
    <row r="114" spans="1:6" ht="39" customHeight="1" x14ac:dyDescent="0.25">
      <c r="A114" s="42">
        <f t="shared" si="1"/>
        <v>106</v>
      </c>
      <c r="B114" s="36" t="s">
        <v>505</v>
      </c>
      <c r="C114" s="38" t="s">
        <v>333</v>
      </c>
      <c r="D114" s="38" t="s">
        <v>506</v>
      </c>
      <c r="E114" s="39">
        <v>8097080632</v>
      </c>
      <c r="F114" s="40" t="s">
        <v>418</v>
      </c>
    </row>
    <row r="115" spans="1:6" ht="39" customHeight="1" x14ac:dyDescent="0.25">
      <c r="A115" s="42">
        <f t="shared" si="1"/>
        <v>107</v>
      </c>
      <c r="B115" s="36" t="s">
        <v>505</v>
      </c>
      <c r="C115" s="38" t="s">
        <v>332</v>
      </c>
      <c r="D115" s="38" t="s">
        <v>507</v>
      </c>
      <c r="E115" s="39">
        <v>8293088433</v>
      </c>
      <c r="F115" s="39" t="s">
        <v>416</v>
      </c>
    </row>
    <row r="116" spans="1:6" ht="39" customHeight="1" x14ac:dyDescent="0.25">
      <c r="A116" s="42">
        <f t="shared" si="1"/>
        <v>108</v>
      </c>
      <c r="B116" s="36" t="s">
        <v>505</v>
      </c>
      <c r="C116" s="38" t="s">
        <v>334</v>
      </c>
      <c r="D116" s="38" t="s">
        <v>691</v>
      </c>
      <c r="E116" s="39">
        <v>8293088860</v>
      </c>
      <c r="F116" s="39" t="s">
        <v>416</v>
      </c>
    </row>
    <row r="117" spans="1:6" ht="39" customHeight="1" x14ac:dyDescent="0.25">
      <c r="A117" s="42">
        <f t="shared" si="1"/>
        <v>109</v>
      </c>
      <c r="B117" s="36" t="s">
        <v>505</v>
      </c>
      <c r="C117" s="38" t="s">
        <v>692</v>
      </c>
      <c r="D117" s="38" t="s">
        <v>693</v>
      </c>
      <c r="E117" s="39">
        <v>8098660034</v>
      </c>
      <c r="F117" s="39" t="s">
        <v>416</v>
      </c>
    </row>
    <row r="118" spans="1:6" ht="39" customHeight="1" x14ac:dyDescent="0.25">
      <c r="A118" s="42">
        <f t="shared" si="1"/>
        <v>110</v>
      </c>
      <c r="B118" s="36" t="s">
        <v>100</v>
      </c>
      <c r="C118" s="38" t="s">
        <v>101</v>
      </c>
      <c r="D118" s="36" t="s">
        <v>509</v>
      </c>
      <c r="E118" s="39">
        <v>8099913301</v>
      </c>
      <c r="F118" s="39" t="s">
        <v>508</v>
      </c>
    </row>
    <row r="119" spans="1:6" ht="39" customHeight="1" x14ac:dyDescent="0.25">
      <c r="A119" s="42">
        <f t="shared" ref="A119:A202" si="2">+A118+1</f>
        <v>111</v>
      </c>
      <c r="B119" s="36" t="s">
        <v>100</v>
      </c>
      <c r="C119" s="38" t="s">
        <v>104</v>
      </c>
      <c r="D119" s="36" t="s">
        <v>510</v>
      </c>
      <c r="E119" s="39">
        <v>8498046793</v>
      </c>
      <c r="F119" s="39" t="s">
        <v>511</v>
      </c>
    </row>
    <row r="120" spans="1:6" ht="39" customHeight="1" x14ac:dyDescent="0.25">
      <c r="A120" s="42">
        <f t="shared" si="2"/>
        <v>112</v>
      </c>
      <c r="B120" s="36" t="s">
        <v>100</v>
      </c>
      <c r="C120" s="38" t="s">
        <v>105</v>
      </c>
      <c r="D120" s="36" t="s">
        <v>512</v>
      </c>
      <c r="E120" s="39">
        <v>8498047643</v>
      </c>
      <c r="F120" s="40" t="s">
        <v>418</v>
      </c>
    </row>
    <row r="121" spans="1:6" ht="39" customHeight="1" x14ac:dyDescent="0.25">
      <c r="A121" s="42">
        <f t="shared" si="2"/>
        <v>113</v>
      </c>
      <c r="B121" s="36" t="s">
        <v>100</v>
      </c>
      <c r="C121" s="38" t="s">
        <v>106</v>
      </c>
      <c r="D121" s="38" t="s">
        <v>513</v>
      </c>
      <c r="E121" s="39">
        <v>8498046835</v>
      </c>
      <c r="F121" s="40" t="s">
        <v>418</v>
      </c>
    </row>
    <row r="122" spans="1:6" ht="39" customHeight="1" x14ac:dyDescent="0.25">
      <c r="A122" s="42">
        <f t="shared" si="2"/>
        <v>114</v>
      </c>
      <c r="B122" s="36" t="s">
        <v>100</v>
      </c>
      <c r="C122" s="38" t="s">
        <v>344</v>
      </c>
      <c r="D122" s="38" t="s">
        <v>514</v>
      </c>
      <c r="E122" s="39">
        <v>8498046493</v>
      </c>
      <c r="F122" s="39" t="s">
        <v>416</v>
      </c>
    </row>
    <row r="123" spans="1:6" ht="39" customHeight="1" x14ac:dyDescent="0.25">
      <c r="A123" s="42">
        <f t="shared" si="2"/>
        <v>115</v>
      </c>
      <c r="B123" s="36" t="s">
        <v>100</v>
      </c>
      <c r="C123" s="38" t="s">
        <v>102</v>
      </c>
      <c r="D123" s="38" t="s">
        <v>694</v>
      </c>
      <c r="E123" s="39">
        <v>8498047674</v>
      </c>
      <c r="F123" s="39" t="s">
        <v>416</v>
      </c>
    </row>
    <row r="124" spans="1:6" ht="39" customHeight="1" x14ac:dyDescent="0.25">
      <c r="A124" s="42">
        <f t="shared" si="2"/>
        <v>116</v>
      </c>
      <c r="B124" s="36" t="s">
        <v>100</v>
      </c>
      <c r="C124" s="38" t="s">
        <v>103</v>
      </c>
      <c r="D124" s="38" t="s">
        <v>695</v>
      </c>
      <c r="E124" s="39">
        <v>8497634309</v>
      </c>
      <c r="F124" s="39" t="s">
        <v>416</v>
      </c>
    </row>
    <row r="125" spans="1:6" ht="39" customHeight="1" x14ac:dyDescent="0.25">
      <c r="A125" s="42">
        <f t="shared" si="2"/>
        <v>117</v>
      </c>
      <c r="B125" s="36" t="s">
        <v>100</v>
      </c>
      <c r="C125" s="38" t="s">
        <v>107</v>
      </c>
      <c r="D125" s="38" t="s">
        <v>696</v>
      </c>
      <c r="E125" s="39">
        <v>8496427810</v>
      </c>
      <c r="F125" s="39" t="s">
        <v>508</v>
      </c>
    </row>
    <row r="126" spans="1:6" ht="39" customHeight="1" x14ac:dyDescent="0.25">
      <c r="A126" s="42">
        <f t="shared" si="2"/>
        <v>118</v>
      </c>
      <c r="B126" s="36" t="s">
        <v>100</v>
      </c>
      <c r="C126" s="38" t="s">
        <v>108</v>
      </c>
      <c r="D126" s="38" t="s">
        <v>697</v>
      </c>
      <c r="E126" s="39">
        <v>8496427802</v>
      </c>
      <c r="F126" s="39" t="s">
        <v>698</v>
      </c>
    </row>
    <row r="127" spans="1:6" ht="39" customHeight="1" x14ac:dyDescent="0.25">
      <c r="A127" s="42">
        <f t="shared" si="2"/>
        <v>119</v>
      </c>
      <c r="B127" s="36" t="s">
        <v>100</v>
      </c>
      <c r="C127" s="38" t="s">
        <v>109</v>
      </c>
      <c r="D127" s="38" t="s">
        <v>699</v>
      </c>
      <c r="E127" s="39">
        <v>8097080606</v>
      </c>
      <c r="F127" s="39" t="s">
        <v>416</v>
      </c>
    </row>
    <row r="128" spans="1:6" ht="39" customHeight="1" x14ac:dyDescent="0.25">
      <c r="A128" s="42">
        <f t="shared" si="2"/>
        <v>120</v>
      </c>
      <c r="B128" s="36" t="s">
        <v>100</v>
      </c>
      <c r="C128" s="38" t="s">
        <v>110</v>
      </c>
      <c r="D128" s="38" t="s">
        <v>700</v>
      </c>
      <c r="E128" s="39">
        <v>8498047689</v>
      </c>
      <c r="F128" s="39" t="s">
        <v>416</v>
      </c>
    </row>
    <row r="129" spans="1:6" ht="39" customHeight="1" x14ac:dyDescent="0.25">
      <c r="A129" s="42">
        <f t="shared" si="2"/>
        <v>121</v>
      </c>
      <c r="B129" s="36" t="s">
        <v>100</v>
      </c>
      <c r="C129" s="38" t="s">
        <v>111</v>
      </c>
      <c r="D129" s="38" t="s">
        <v>701</v>
      </c>
      <c r="E129" s="39">
        <v>8099913732</v>
      </c>
      <c r="F129" s="39" t="s">
        <v>416</v>
      </c>
    </row>
    <row r="130" spans="1:6" ht="39" customHeight="1" x14ac:dyDescent="0.25">
      <c r="A130" s="42">
        <f t="shared" si="2"/>
        <v>122</v>
      </c>
      <c r="B130" s="36" t="s">
        <v>22</v>
      </c>
      <c r="C130" s="38" t="s">
        <v>17</v>
      </c>
      <c r="D130" s="36" t="s">
        <v>515</v>
      </c>
      <c r="E130" s="39">
        <v>8098029684</v>
      </c>
      <c r="F130" s="39" t="s">
        <v>418</v>
      </c>
    </row>
    <row r="131" spans="1:6" ht="39" customHeight="1" x14ac:dyDescent="0.25">
      <c r="A131" s="42">
        <f t="shared" si="2"/>
        <v>123</v>
      </c>
      <c r="B131" s="36" t="s">
        <v>22</v>
      </c>
      <c r="C131" s="38" t="s">
        <v>18</v>
      </c>
      <c r="D131" s="36" t="s">
        <v>516</v>
      </c>
      <c r="E131" s="39">
        <v>8098029451</v>
      </c>
      <c r="F131" s="39" t="s">
        <v>416</v>
      </c>
    </row>
    <row r="132" spans="1:6" ht="39" customHeight="1" x14ac:dyDescent="0.25">
      <c r="A132" s="42">
        <f t="shared" si="2"/>
        <v>124</v>
      </c>
      <c r="B132" s="36" t="s">
        <v>22</v>
      </c>
      <c r="C132" s="38" t="s">
        <v>20</v>
      </c>
      <c r="D132" s="36" t="s">
        <v>517</v>
      </c>
      <c r="E132" s="39">
        <v>8097080643</v>
      </c>
      <c r="F132" s="39" t="s">
        <v>416</v>
      </c>
    </row>
    <row r="133" spans="1:6" ht="39" customHeight="1" x14ac:dyDescent="0.25">
      <c r="A133" s="42">
        <f t="shared" si="2"/>
        <v>125</v>
      </c>
      <c r="B133" s="36" t="s">
        <v>22</v>
      </c>
      <c r="C133" s="38" t="s">
        <v>21</v>
      </c>
      <c r="D133" s="36" t="s">
        <v>518</v>
      </c>
      <c r="E133" s="39">
        <v>8299220262</v>
      </c>
      <c r="F133" s="39" t="s">
        <v>481</v>
      </c>
    </row>
    <row r="134" spans="1:6" ht="39" customHeight="1" x14ac:dyDescent="0.25">
      <c r="A134" s="42">
        <f t="shared" si="2"/>
        <v>126</v>
      </c>
      <c r="B134" s="36" t="s">
        <v>22</v>
      </c>
      <c r="C134" s="38" t="s">
        <v>19</v>
      </c>
      <c r="D134" s="36" t="s">
        <v>702</v>
      </c>
      <c r="E134" s="39">
        <v>8099913076</v>
      </c>
      <c r="F134" s="39" t="s">
        <v>416</v>
      </c>
    </row>
    <row r="135" spans="1:6" ht="39" customHeight="1" x14ac:dyDescent="0.25">
      <c r="A135" s="42">
        <f t="shared" si="2"/>
        <v>127</v>
      </c>
      <c r="B135" s="36" t="s">
        <v>0</v>
      </c>
      <c r="C135" s="38" t="s">
        <v>2</v>
      </c>
      <c r="D135" s="36" t="s">
        <v>519</v>
      </c>
      <c r="E135" s="39">
        <v>8099912257</v>
      </c>
      <c r="F135" s="40" t="s">
        <v>418</v>
      </c>
    </row>
    <row r="136" spans="1:6" ht="39" customHeight="1" x14ac:dyDescent="0.25">
      <c r="A136" s="42">
        <f t="shared" si="2"/>
        <v>128</v>
      </c>
      <c r="B136" s="36" t="s">
        <v>0</v>
      </c>
      <c r="C136" s="38" t="s">
        <v>5</v>
      </c>
      <c r="D136" s="36" t="s">
        <v>520</v>
      </c>
      <c r="E136" s="39">
        <v>8293088861</v>
      </c>
      <c r="F136" s="39" t="s">
        <v>416</v>
      </c>
    </row>
    <row r="137" spans="1:6" ht="39" customHeight="1" x14ac:dyDescent="0.25">
      <c r="A137" s="42">
        <f t="shared" si="2"/>
        <v>129</v>
      </c>
      <c r="B137" s="36" t="s">
        <v>0</v>
      </c>
      <c r="C137" s="36" t="s">
        <v>4</v>
      </c>
      <c r="D137" s="36" t="s">
        <v>521</v>
      </c>
      <c r="E137" s="39">
        <v>8293088863</v>
      </c>
      <c r="F137" s="39" t="s">
        <v>416</v>
      </c>
    </row>
    <row r="138" spans="1:6" ht="39" customHeight="1" x14ac:dyDescent="0.25">
      <c r="A138" s="42">
        <f t="shared" si="2"/>
        <v>130</v>
      </c>
      <c r="B138" s="36" t="s">
        <v>0</v>
      </c>
      <c r="C138" s="36" t="s">
        <v>1</v>
      </c>
      <c r="D138" s="36" t="s">
        <v>703</v>
      </c>
      <c r="E138" s="39">
        <v>8097080679</v>
      </c>
      <c r="F138" s="39" t="s">
        <v>508</v>
      </c>
    </row>
    <row r="139" spans="1:6" ht="39" customHeight="1" x14ac:dyDescent="0.25">
      <c r="A139" s="42">
        <f t="shared" si="2"/>
        <v>131</v>
      </c>
      <c r="B139" s="36" t="s">
        <v>0</v>
      </c>
      <c r="C139" s="36" t="s">
        <v>3</v>
      </c>
      <c r="D139" s="36" t="s">
        <v>704</v>
      </c>
      <c r="E139" s="39">
        <v>8293088444</v>
      </c>
      <c r="F139" s="39" t="s">
        <v>508</v>
      </c>
    </row>
    <row r="140" spans="1:6" ht="39" customHeight="1" x14ac:dyDescent="0.25">
      <c r="A140" s="42">
        <f t="shared" si="2"/>
        <v>132</v>
      </c>
      <c r="B140" s="37" t="s">
        <v>522</v>
      </c>
      <c r="C140" s="38" t="s">
        <v>114</v>
      </c>
      <c r="D140" s="36" t="s">
        <v>523</v>
      </c>
      <c r="E140" s="39">
        <v>8098660293</v>
      </c>
      <c r="F140" s="39" t="s">
        <v>524</v>
      </c>
    </row>
    <row r="141" spans="1:6" ht="39" customHeight="1" x14ac:dyDescent="0.25">
      <c r="A141" s="42">
        <f t="shared" si="2"/>
        <v>133</v>
      </c>
      <c r="B141" s="37" t="s">
        <v>522</v>
      </c>
      <c r="C141" s="38" t="s">
        <v>525</v>
      </c>
      <c r="D141" s="38" t="s">
        <v>526</v>
      </c>
      <c r="E141" s="39">
        <v>8099912506</v>
      </c>
      <c r="F141" s="39" t="s">
        <v>527</v>
      </c>
    </row>
    <row r="142" spans="1:6" ht="39" customHeight="1" x14ac:dyDescent="0.25">
      <c r="A142" s="42">
        <f t="shared" si="2"/>
        <v>134</v>
      </c>
      <c r="B142" s="37" t="s">
        <v>522</v>
      </c>
      <c r="C142" s="38" t="s">
        <v>528</v>
      </c>
      <c r="D142" s="38" t="s">
        <v>529</v>
      </c>
      <c r="E142" s="39">
        <v>8293088448</v>
      </c>
      <c r="F142" s="40" t="s">
        <v>418</v>
      </c>
    </row>
    <row r="143" spans="1:6" ht="39" customHeight="1" x14ac:dyDescent="0.25">
      <c r="A143" s="42">
        <f t="shared" si="2"/>
        <v>135</v>
      </c>
      <c r="B143" s="37" t="s">
        <v>522</v>
      </c>
      <c r="C143" s="38" t="s">
        <v>115</v>
      </c>
      <c r="D143" s="38" t="s">
        <v>530</v>
      </c>
      <c r="E143" s="39">
        <v>8293089044</v>
      </c>
      <c r="F143" s="39" t="s">
        <v>416</v>
      </c>
    </row>
    <row r="144" spans="1:6" ht="39" customHeight="1" x14ac:dyDescent="0.25">
      <c r="A144" s="42">
        <f t="shared" si="2"/>
        <v>136</v>
      </c>
      <c r="B144" s="37" t="s">
        <v>522</v>
      </c>
      <c r="C144" s="38" t="s">
        <v>113</v>
      </c>
      <c r="D144" s="38" t="s">
        <v>705</v>
      </c>
      <c r="E144" s="39">
        <v>8098029687</v>
      </c>
      <c r="F144" s="39" t="s">
        <v>416</v>
      </c>
    </row>
    <row r="145" spans="1:6" ht="39" customHeight="1" x14ac:dyDescent="0.25">
      <c r="A145" s="42">
        <f t="shared" si="2"/>
        <v>137</v>
      </c>
      <c r="B145" s="37" t="s">
        <v>6</v>
      </c>
      <c r="C145" s="38" t="s">
        <v>7</v>
      </c>
      <c r="D145" s="36" t="s">
        <v>531</v>
      </c>
      <c r="E145" s="39">
        <v>8299224207</v>
      </c>
      <c r="F145" s="39" t="s">
        <v>416</v>
      </c>
    </row>
    <row r="146" spans="1:6" ht="39" customHeight="1" x14ac:dyDescent="0.25">
      <c r="A146" s="42">
        <f t="shared" si="2"/>
        <v>138</v>
      </c>
      <c r="B146" s="37" t="s">
        <v>6</v>
      </c>
      <c r="C146" s="38" t="s">
        <v>8</v>
      </c>
      <c r="D146" s="36" t="s">
        <v>532</v>
      </c>
      <c r="E146" s="39">
        <v>8299224229</v>
      </c>
      <c r="F146" s="39" t="s">
        <v>416</v>
      </c>
    </row>
    <row r="147" spans="1:6" ht="39" customHeight="1" x14ac:dyDescent="0.25">
      <c r="A147" s="42">
        <f t="shared" si="2"/>
        <v>139</v>
      </c>
      <c r="B147" s="37" t="s">
        <v>6</v>
      </c>
      <c r="C147" s="38" t="s">
        <v>533</v>
      </c>
      <c r="D147" s="36" t="s">
        <v>534</v>
      </c>
      <c r="E147" s="39">
        <v>8299224213</v>
      </c>
      <c r="F147" s="40" t="s">
        <v>535</v>
      </c>
    </row>
    <row r="148" spans="1:6" ht="39" customHeight="1" x14ac:dyDescent="0.25">
      <c r="A148" s="42">
        <f t="shared" si="2"/>
        <v>140</v>
      </c>
      <c r="B148" s="37" t="s">
        <v>6</v>
      </c>
      <c r="C148" s="38" t="s">
        <v>9</v>
      </c>
      <c r="D148" s="36" t="s">
        <v>536</v>
      </c>
      <c r="E148" s="39">
        <v>8299224167</v>
      </c>
      <c r="F148" s="39" t="s">
        <v>416</v>
      </c>
    </row>
    <row r="149" spans="1:6" ht="39" customHeight="1" x14ac:dyDescent="0.25">
      <c r="A149" s="42">
        <f t="shared" si="2"/>
        <v>141</v>
      </c>
      <c r="B149" s="37" t="s">
        <v>6</v>
      </c>
      <c r="C149" s="38" t="s">
        <v>10</v>
      </c>
      <c r="D149" s="36" t="s">
        <v>537</v>
      </c>
      <c r="E149" s="39">
        <v>8299224373</v>
      </c>
      <c r="F149" s="39" t="s">
        <v>416</v>
      </c>
    </row>
    <row r="150" spans="1:6" ht="39" customHeight="1" x14ac:dyDescent="0.25">
      <c r="A150" s="42">
        <f t="shared" si="2"/>
        <v>142</v>
      </c>
      <c r="B150" s="37" t="s">
        <v>6</v>
      </c>
      <c r="C150" s="36" t="s">
        <v>11</v>
      </c>
      <c r="D150" s="36" t="s">
        <v>538</v>
      </c>
      <c r="E150" s="39">
        <v>8299224350</v>
      </c>
      <c r="F150" s="39" t="s">
        <v>416</v>
      </c>
    </row>
    <row r="151" spans="1:6" ht="39" customHeight="1" x14ac:dyDescent="0.25">
      <c r="A151" s="42">
        <f t="shared" si="2"/>
        <v>143</v>
      </c>
      <c r="B151" s="37" t="s">
        <v>116</v>
      </c>
      <c r="C151" s="38" t="s">
        <v>328</v>
      </c>
      <c r="D151" s="36" t="s">
        <v>539</v>
      </c>
      <c r="E151" s="39">
        <v>8097151160</v>
      </c>
      <c r="F151" s="39" t="s">
        <v>524</v>
      </c>
    </row>
    <row r="152" spans="1:6" ht="39" customHeight="1" x14ac:dyDescent="0.25">
      <c r="A152" s="42">
        <f t="shared" si="2"/>
        <v>144</v>
      </c>
      <c r="B152" s="37" t="s">
        <v>116</v>
      </c>
      <c r="C152" s="36" t="s">
        <v>329</v>
      </c>
      <c r="D152" s="36" t="s">
        <v>540</v>
      </c>
      <c r="E152" s="39">
        <v>8299220756</v>
      </c>
      <c r="F152" s="39" t="s">
        <v>416</v>
      </c>
    </row>
    <row r="153" spans="1:6" ht="39" customHeight="1" x14ac:dyDescent="0.25">
      <c r="A153" s="42">
        <f t="shared" si="2"/>
        <v>145</v>
      </c>
      <c r="B153" s="37" t="s">
        <v>121</v>
      </c>
      <c r="C153" s="38" t="s">
        <v>117</v>
      </c>
      <c r="D153" s="36" t="s">
        <v>541</v>
      </c>
      <c r="E153" s="39">
        <v>8299224017</v>
      </c>
      <c r="F153" s="39" t="s">
        <v>416</v>
      </c>
    </row>
    <row r="154" spans="1:6" ht="39" customHeight="1" x14ac:dyDescent="0.25">
      <c r="A154" s="42">
        <f t="shared" si="2"/>
        <v>146</v>
      </c>
      <c r="B154" s="37" t="s">
        <v>542</v>
      </c>
      <c r="C154" s="38" t="s">
        <v>119</v>
      </c>
      <c r="D154" s="37" t="s">
        <v>543</v>
      </c>
      <c r="E154" s="39">
        <v>8299224330</v>
      </c>
      <c r="F154" s="40" t="s">
        <v>418</v>
      </c>
    </row>
    <row r="155" spans="1:6" ht="39" customHeight="1" x14ac:dyDescent="0.25">
      <c r="A155" s="42">
        <f t="shared" si="2"/>
        <v>147</v>
      </c>
      <c r="B155" s="37" t="s">
        <v>544</v>
      </c>
      <c r="C155" s="38" t="s">
        <v>545</v>
      </c>
      <c r="D155" s="38" t="s">
        <v>546</v>
      </c>
      <c r="E155" s="39">
        <v>8299223982</v>
      </c>
      <c r="F155" s="39" t="s">
        <v>416</v>
      </c>
    </row>
    <row r="156" spans="1:6" ht="39" customHeight="1" x14ac:dyDescent="0.25">
      <c r="A156" s="42">
        <f t="shared" si="2"/>
        <v>148</v>
      </c>
      <c r="B156" s="37" t="s">
        <v>121</v>
      </c>
      <c r="C156" s="38" t="s">
        <v>117</v>
      </c>
      <c r="D156" s="38" t="s">
        <v>541</v>
      </c>
      <c r="E156" s="39">
        <v>8299224017</v>
      </c>
      <c r="F156" s="39" t="s">
        <v>416</v>
      </c>
    </row>
    <row r="157" spans="1:6" ht="39" customHeight="1" x14ac:dyDescent="0.25">
      <c r="A157" s="42">
        <f t="shared" si="2"/>
        <v>149</v>
      </c>
      <c r="B157" s="37" t="s">
        <v>121</v>
      </c>
      <c r="C157" s="38" t="s">
        <v>118</v>
      </c>
      <c r="D157" s="38" t="s">
        <v>706</v>
      </c>
      <c r="E157" s="39">
        <v>8299224249</v>
      </c>
      <c r="F157" s="39" t="s">
        <v>416</v>
      </c>
    </row>
    <row r="158" spans="1:6" ht="39" customHeight="1" x14ac:dyDescent="0.25">
      <c r="A158" s="42">
        <f t="shared" si="2"/>
        <v>150</v>
      </c>
      <c r="B158" s="37" t="s">
        <v>122</v>
      </c>
      <c r="C158" s="38" t="s">
        <v>129</v>
      </c>
      <c r="D158" s="38" t="s">
        <v>547</v>
      </c>
      <c r="E158" s="39">
        <v>8293089078</v>
      </c>
      <c r="F158" s="39" t="s">
        <v>548</v>
      </c>
    </row>
    <row r="159" spans="1:6" ht="39" customHeight="1" x14ac:dyDescent="0.25">
      <c r="A159" s="42">
        <f t="shared" si="2"/>
        <v>151</v>
      </c>
      <c r="B159" s="37" t="s">
        <v>122</v>
      </c>
      <c r="C159" s="38" t="s">
        <v>126</v>
      </c>
      <c r="D159" s="38" t="s">
        <v>549</v>
      </c>
      <c r="E159" s="39">
        <v>8099912661</v>
      </c>
      <c r="F159" s="39" t="s">
        <v>416</v>
      </c>
    </row>
    <row r="160" spans="1:6" ht="39" customHeight="1" x14ac:dyDescent="0.25">
      <c r="A160" s="42">
        <f t="shared" si="2"/>
        <v>152</v>
      </c>
      <c r="B160" s="37" t="s">
        <v>122</v>
      </c>
      <c r="C160" s="38" t="s">
        <v>128</v>
      </c>
      <c r="D160" s="38" t="s">
        <v>550</v>
      </c>
      <c r="E160" s="39">
        <v>8293088396</v>
      </c>
      <c r="F160" s="39" t="s">
        <v>416</v>
      </c>
    </row>
    <row r="161" spans="1:6" ht="39" customHeight="1" x14ac:dyDescent="0.25">
      <c r="A161" s="42">
        <f t="shared" si="2"/>
        <v>153</v>
      </c>
      <c r="B161" s="37" t="s">
        <v>122</v>
      </c>
      <c r="C161" s="38" t="s">
        <v>349</v>
      </c>
      <c r="D161" s="38" t="s">
        <v>551</v>
      </c>
      <c r="E161" s="39">
        <v>8098660026</v>
      </c>
      <c r="F161" s="40" t="s">
        <v>418</v>
      </c>
    </row>
    <row r="162" spans="1:6" ht="39" customHeight="1" x14ac:dyDescent="0.25">
      <c r="A162" s="42">
        <f t="shared" si="2"/>
        <v>154</v>
      </c>
      <c r="B162" s="37" t="s">
        <v>122</v>
      </c>
      <c r="C162" s="38" t="s">
        <v>644</v>
      </c>
      <c r="D162" s="38" t="s">
        <v>552</v>
      </c>
      <c r="E162" s="39">
        <v>8097151265</v>
      </c>
      <c r="F162" s="39" t="s">
        <v>416</v>
      </c>
    </row>
    <row r="163" spans="1:6" ht="39" customHeight="1" x14ac:dyDescent="0.25">
      <c r="A163" s="42">
        <f t="shared" si="2"/>
        <v>155</v>
      </c>
      <c r="B163" s="37" t="s">
        <v>122</v>
      </c>
      <c r="C163" s="38" t="s">
        <v>131</v>
      </c>
      <c r="D163" s="37" t="s">
        <v>553</v>
      </c>
      <c r="E163" s="39">
        <v>8293088403</v>
      </c>
      <c r="F163" s="39" t="s">
        <v>416</v>
      </c>
    </row>
    <row r="164" spans="1:6" ht="39" customHeight="1" x14ac:dyDescent="0.25">
      <c r="A164" s="42">
        <f t="shared" si="2"/>
        <v>156</v>
      </c>
      <c r="B164" s="37" t="s">
        <v>122</v>
      </c>
      <c r="C164" s="38" t="s">
        <v>554</v>
      </c>
      <c r="D164" s="38" t="s">
        <v>555</v>
      </c>
      <c r="E164" s="39">
        <v>8098780235</v>
      </c>
      <c r="F164" s="39" t="s">
        <v>416</v>
      </c>
    </row>
    <row r="165" spans="1:6" ht="39" customHeight="1" x14ac:dyDescent="0.25">
      <c r="A165" s="42">
        <f t="shared" si="2"/>
        <v>157</v>
      </c>
      <c r="B165" s="37" t="s">
        <v>122</v>
      </c>
      <c r="C165" s="38" t="s">
        <v>123</v>
      </c>
      <c r="D165" s="38" t="s">
        <v>707</v>
      </c>
      <c r="E165" s="39">
        <v>8099913039</v>
      </c>
      <c r="F165" s="39" t="s">
        <v>416</v>
      </c>
    </row>
    <row r="166" spans="1:6" ht="39" customHeight="1" x14ac:dyDescent="0.25">
      <c r="A166" s="42">
        <f t="shared" si="2"/>
        <v>158</v>
      </c>
      <c r="B166" s="37" t="s">
        <v>122</v>
      </c>
      <c r="C166" s="38" t="s">
        <v>125</v>
      </c>
      <c r="D166" s="38" t="s">
        <v>708</v>
      </c>
      <c r="E166" s="39">
        <v>8299220754</v>
      </c>
      <c r="F166" s="39" t="s">
        <v>508</v>
      </c>
    </row>
    <row r="167" spans="1:6" ht="39" customHeight="1" x14ac:dyDescent="0.25">
      <c r="A167" s="42">
        <f t="shared" si="2"/>
        <v>159</v>
      </c>
      <c r="B167" s="37" t="s">
        <v>122</v>
      </c>
      <c r="C167" s="38" t="s">
        <v>127</v>
      </c>
      <c r="D167" s="38" t="s">
        <v>709</v>
      </c>
      <c r="E167" s="39">
        <v>8098781417</v>
      </c>
      <c r="F167" s="39" t="s">
        <v>416</v>
      </c>
    </row>
    <row r="168" spans="1:6" ht="39" customHeight="1" x14ac:dyDescent="0.25">
      <c r="A168" s="42">
        <f t="shared" si="2"/>
        <v>160</v>
      </c>
      <c r="B168" s="37" t="s">
        <v>132</v>
      </c>
      <c r="C168" s="38" t="s">
        <v>133</v>
      </c>
      <c r="D168" s="38" t="s">
        <v>556</v>
      </c>
      <c r="E168" s="39">
        <v>8099911220</v>
      </c>
      <c r="F168" s="39" t="s">
        <v>548</v>
      </c>
    </row>
    <row r="169" spans="1:6" ht="39" customHeight="1" x14ac:dyDescent="0.25">
      <c r="A169" s="42">
        <f t="shared" si="2"/>
        <v>161</v>
      </c>
      <c r="B169" s="37" t="s">
        <v>132</v>
      </c>
      <c r="C169" s="38" t="s">
        <v>135</v>
      </c>
      <c r="D169" s="38" t="s">
        <v>557</v>
      </c>
      <c r="E169" s="39">
        <v>8099913022</v>
      </c>
      <c r="F169" s="39" t="s">
        <v>548</v>
      </c>
    </row>
    <row r="170" spans="1:6" ht="39" customHeight="1" x14ac:dyDescent="0.25">
      <c r="A170" s="42">
        <f t="shared" si="2"/>
        <v>162</v>
      </c>
      <c r="B170" s="37" t="s">
        <v>132</v>
      </c>
      <c r="C170" s="38" t="s">
        <v>137</v>
      </c>
      <c r="D170" s="38" t="s">
        <v>558</v>
      </c>
      <c r="E170" s="39">
        <v>8097080057</v>
      </c>
      <c r="F170" s="39" t="s">
        <v>416</v>
      </c>
    </row>
    <row r="171" spans="1:6" ht="39" customHeight="1" x14ac:dyDescent="0.25">
      <c r="A171" s="42">
        <f t="shared" si="2"/>
        <v>163</v>
      </c>
      <c r="B171" s="37" t="s">
        <v>132</v>
      </c>
      <c r="C171" s="38" t="s">
        <v>136</v>
      </c>
      <c r="D171" s="38" t="s">
        <v>559</v>
      </c>
      <c r="E171" s="39">
        <v>8099911528</v>
      </c>
      <c r="F171" s="39" t="s">
        <v>416</v>
      </c>
    </row>
    <row r="172" spans="1:6" ht="39" customHeight="1" x14ac:dyDescent="0.25">
      <c r="A172" s="42">
        <f t="shared" si="2"/>
        <v>164</v>
      </c>
      <c r="B172" s="37" t="s">
        <v>132</v>
      </c>
      <c r="C172" s="38" t="s">
        <v>134</v>
      </c>
      <c r="D172" s="38" t="s">
        <v>710</v>
      </c>
      <c r="E172" s="39">
        <v>8099913140</v>
      </c>
      <c r="F172" s="39" t="s">
        <v>508</v>
      </c>
    </row>
    <row r="173" spans="1:6" ht="39" customHeight="1" x14ac:dyDescent="0.25">
      <c r="A173" s="42">
        <f t="shared" si="2"/>
        <v>165</v>
      </c>
      <c r="B173" s="37" t="s">
        <v>560</v>
      </c>
      <c r="C173" s="37" t="s">
        <v>143</v>
      </c>
      <c r="D173" s="37" t="s">
        <v>561</v>
      </c>
      <c r="E173" s="39">
        <v>8098661158</v>
      </c>
      <c r="F173" s="39" t="s">
        <v>416</v>
      </c>
    </row>
    <row r="174" spans="1:6" ht="39" customHeight="1" x14ac:dyDescent="0.25">
      <c r="A174" s="42">
        <f t="shared" si="2"/>
        <v>166</v>
      </c>
      <c r="B174" s="37" t="s">
        <v>560</v>
      </c>
      <c r="C174" s="38" t="s">
        <v>141</v>
      </c>
      <c r="D174" s="37" t="s">
        <v>562</v>
      </c>
      <c r="E174" s="39">
        <v>8299220149</v>
      </c>
      <c r="F174" s="39" t="s">
        <v>444</v>
      </c>
    </row>
    <row r="175" spans="1:6" ht="39" customHeight="1" x14ac:dyDescent="0.25">
      <c r="A175" s="42">
        <f t="shared" si="2"/>
        <v>167</v>
      </c>
      <c r="B175" s="37" t="s">
        <v>560</v>
      </c>
      <c r="C175" s="38" t="s">
        <v>563</v>
      </c>
      <c r="D175" s="38" t="s">
        <v>564</v>
      </c>
      <c r="E175" s="39">
        <v>8299220376</v>
      </c>
      <c r="F175" s="39" t="s">
        <v>416</v>
      </c>
    </row>
    <row r="176" spans="1:6" ht="39" customHeight="1" x14ac:dyDescent="0.25">
      <c r="A176" s="42">
        <f t="shared" si="2"/>
        <v>168</v>
      </c>
      <c r="B176" s="37" t="s">
        <v>560</v>
      </c>
      <c r="C176" s="38" t="s">
        <v>146</v>
      </c>
      <c r="D176" s="38" t="s">
        <v>565</v>
      </c>
      <c r="E176" s="39">
        <v>8099910821</v>
      </c>
      <c r="F176" s="39" t="s">
        <v>416</v>
      </c>
    </row>
    <row r="177" spans="1:6" ht="39" customHeight="1" x14ac:dyDescent="0.25">
      <c r="A177" s="42">
        <f t="shared" si="2"/>
        <v>169</v>
      </c>
      <c r="B177" s="37" t="s">
        <v>560</v>
      </c>
      <c r="C177" s="38" t="s">
        <v>150</v>
      </c>
      <c r="D177" s="38" t="s">
        <v>567</v>
      </c>
      <c r="E177" s="39">
        <v>8099911849</v>
      </c>
      <c r="F177" s="40" t="s">
        <v>418</v>
      </c>
    </row>
    <row r="178" spans="1:6" ht="39" customHeight="1" x14ac:dyDescent="0.25">
      <c r="A178" s="42">
        <f t="shared" si="2"/>
        <v>170</v>
      </c>
      <c r="B178" s="37" t="s">
        <v>566</v>
      </c>
      <c r="C178" s="38" t="s">
        <v>139</v>
      </c>
      <c r="D178" s="38" t="s">
        <v>568</v>
      </c>
      <c r="E178" s="39">
        <v>8099911664</v>
      </c>
      <c r="F178" s="39" t="s">
        <v>416</v>
      </c>
    </row>
    <row r="179" spans="1:6" ht="39" customHeight="1" x14ac:dyDescent="0.25">
      <c r="A179" s="42">
        <f t="shared" si="2"/>
        <v>171</v>
      </c>
      <c r="B179" s="37" t="s">
        <v>566</v>
      </c>
      <c r="C179" s="38" t="s">
        <v>292</v>
      </c>
      <c r="D179" s="38" t="s">
        <v>630</v>
      </c>
      <c r="E179" s="40">
        <v>8099911847</v>
      </c>
      <c r="F179" s="40" t="s">
        <v>418</v>
      </c>
    </row>
    <row r="180" spans="1:6" ht="39" customHeight="1" x14ac:dyDescent="0.25">
      <c r="A180" s="42">
        <f t="shared" si="2"/>
        <v>172</v>
      </c>
      <c r="B180" s="37" t="s">
        <v>560</v>
      </c>
      <c r="C180" s="37" t="s">
        <v>140</v>
      </c>
      <c r="D180" s="37" t="s">
        <v>711</v>
      </c>
      <c r="E180" s="39">
        <v>8299220816</v>
      </c>
      <c r="F180" s="39" t="s">
        <v>416</v>
      </c>
    </row>
    <row r="181" spans="1:6" ht="39" customHeight="1" x14ac:dyDescent="0.25">
      <c r="A181" s="42">
        <f t="shared" si="2"/>
        <v>173</v>
      </c>
      <c r="B181" s="37" t="s">
        <v>560</v>
      </c>
      <c r="C181" s="38" t="s">
        <v>142</v>
      </c>
      <c r="D181" s="38" t="s">
        <v>712</v>
      </c>
      <c r="E181" s="40">
        <v>8098781088</v>
      </c>
      <c r="F181" s="40" t="s">
        <v>416</v>
      </c>
    </row>
    <row r="182" spans="1:6" ht="39" customHeight="1" x14ac:dyDescent="0.25">
      <c r="A182" s="42">
        <f t="shared" si="2"/>
        <v>174</v>
      </c>
      <c r="B182" s="37" t="s">
        <v>560</v>
      </c>
      <c r="C182" s="38" t="s">
        <v>713</v>
      </c>
      <c r="D182" s="38" t="s">
        <v>714</v>
      </c>
      <c r="E182" s="40">
        <v>8293087384</v>
      </c>
      <c r="F182" s="40" t="s">
        <v>416</v>
      </c>
    </row>
    <row r="183" spans="1:6" ht="39" customHeight="1" x14ac:dyDescent="0.25">
      <c r="A183" s="42">
        <f t="shared" si="2"/>
        <v>175</v>
      </c>
      <c r="B183" s="37" t="s">
        <v>560</v>
      </c>
      <c r="C183" s="38" t="s">
        <v>715</v>
      </c>
      <c r="D183" s="38" t="s">
        <v>716</v>
      </c>
      <c r="E183" s="40">
        <v>8293088452</v>
      </c>
      <c r="F183" s="40" t="s">
        <v>652</v>
      </c>
    </row>
    <row r="184" spans="1:6" ht="39" customHeight="1" x14ac:dyDescent="0.25">
      <c r="A184" s="42">
        <f t="shared" si="2"/>
        <v>176</v>
      </c>
      <c r="B184" s="37" t="s">
        <v>560</v>
      </c>
      <c r="C184" s="38" t="s">
        <v>144</v>
      </c>
      <c r="D184" s="38" t="s">
        <v>717</v>
      </c>
      <c r="E184" s="40">
        <v>8299220102</v>
      </c>
      <c r="F184" s="40" t="s">
        <v>416</v>
      </c>
    </row>
    <row r="185" spans="1:6" ht="39" customHeight="1" x14ac:dyDescent="0.25">
      <c r="A185" s="42">
        <f t="shared" si="2"/>
        <v>177</v>
      </c>
      <c r="B185" s="37" t="s">
        <v>560</v>
      </c>
      <c r="C185" s="38" t="s">
        <v>145</v>
      </c>
      <c r="D185" s="38" t="s">
        <v>718</v>
      </c>
      <c r="E185" s="40">
        <v>8293088456</v>
      </c>
      <c r="F185" s="40" t="s">
        <v>416</v>
      </c>
    </row>
    <row r="186" spans="1:6" ht="39" customHeight="1" x14ac:dyDescent="0.25">
      <c r="A186" s="42">
        <f t="shared" si="2"/>
        <v>178</v>
      </c>
      <c r="B186" s="37" t="s">
        <v>560</v>
      </c>
      <c r="C186" s="38" t="s">
        <v>30</v>
      </c>
      <c r="D186" s="38" t="s">
        <v>719</v>
      </c>
      <c r="E186" s="39">
        <v>8099912672</v>
      </c>
      <c r="F186" s="39" t="s">
        <v>416</v>
      </c>
    </row>
    <row r="187" spans="1:6" ht="39" customHeight="1" x14ac:dyDescent="0.25">
      <c r="A187" s="42">
        <f t="shared" si="2"/>
        <v>179</v>
      </c>
      <c r="B187" s="37" t="s">
        <v>560</v>
      </c>
      <c r="C187" s="38" t="s">
        <v>147</v>
      </c>
      <c r="D187" s="38" t="s">
        <v>720</v>
      </c>
      <c r="E187" s="40">
        <v>8293088883</v>
      </c>
      <c r="F187" s="40" t="s">
        <v>665</v>
      </c>
    </row>
    <row r="188" spans="1:6" ht="39" customHeight="1" x14ac:dyDescent="0.25">
      <c r="A188" s="42">
        <f t="shared" si="2"/>
        <v>180</v>
      </c>
      <c r="B188" s="37" t="s">
        <v>560</v>
      </c>
      <c r="C188" s="38" t="s">
        <v>148</v>
      </c>
      <c r="D188" s="38" t="s">
        <v>721</v>
      </c>
      <c r="E188" s="40">
        <v>8098781010</v>
      </c>
      <c r="F188" s="40" t="s">
        <v>416</v>
      </c>
    </row>
    <row r="189" spans="1:6" ht="39" customHeight="1" x14ac:dyDescent="0.25">
      <c r="A189" s="42">
        <f t="shared" si="2"/>
        <v>181</v>
      </c>
      <c r="B189" s="37" t="s">
        <v>560</v>
      </c>
      <c r="C189" s="38" t="s">
        <v>722</v>
      </c>
      <c r="D189" s="38" t="s">
        <v>723</v>
      </c>
      <c r="E189" s="40">
        <v>8099913198</v>
      </c>
      <c r="F189" s="40" t="s">
        <v>624</v>
      </c>
    </row>
    <row r="190" spans="1:6" ht="39" customHeight="1" x14ac:dyDescent="0.25">
      <c r="A190" s="42">
        <f t="shared" si="2"/>
        <v>182</v>
      </c>
      <c r="B190" s="37" t="s">
        <v>151</v>
      </c>
      <c r="C190" s="38" t="s">
        <v>152</v>
      </c>
      <c r="D190" s="38" t="s">
        <v>569</v>
      </c>
      <c r="E190" s="39">
        <v>8099913194</v>
      </c>
      <c r="F190" s="40" t="s">
        <v>418</v>
      </c>
    </row>
    <row r="191" spans="1:6" ht="39" customHeight="1" x14ac:dyDescent="0.25">
      <c r="A191" s="42">
        <f t="shared" si="2"/>
        <v>183</v>
      </c>
      <c r="B191" s="37" t="s">
        <v>154</v>
      </c>
      <c r="C191" s="38" t="s">
        <v>155</v>
      </c>
      <c r="D191" s="38" t="s">
        <v>570</v>
      </c>
      <c r="E191" s="39">
        <v>8097080094</v>
      </c>
      <c r="F191" s="39" t="s">
        <v>418</v>
      </c>
    </row>
    <row r="192" spans="1:6" ht="39" customHeight="1" x14ac:dyDescent="0.25">
      <c r="A192" s="42">
        <f t="shared" si="2"/>
        <v>184</v>
      </c>
      <c r="B192" s="37" t="s">
        <v>154</v>
      </c>
      <c r="C192" s="38" t="s">
        <v>156</v>
      </c>
      <c r="D192" s="38" t="s">
        <v>571</v>
      </c>
      <c r="E192" s="39">
        <v>8099913043</v>
      </c>
      <c r="F192" s="39" t="s">
        <v>416</v>
      </c>
    </row>
    <row r="193" spans="1:6" ht="39" customHeight="1" x14ac:dyDescent="0.25">
      <c r="A193" s="42">
        <f t="shared" si="2"/>
        <v>185</v>
      </c>
      <c r="B193" s="37" t="s">
        <v>154</v>
      </c>
      <c r="C193" s="38" t="s">
        <v>157</v>
      </c>
      <c r="D193" s="38" t="s">
        <v>572</v>
      </c>
      <c r="E193" s="39">
        <v>8098781403</v>
      </c>
      <c r="F193" s="40" t="s">
        <v>418</v>
      </c>
    </row>
    <row r="194" spans="1:6" ht="39" customHeight="1" x14ac:dyDescent="0.25">
      <c r="A194" s="42">
        <f t="shared" si="2"/>
        <v>186</v>
      </c>
      <c r="B194" s="37" t="s">
        <v>154</v>
      </c>
      <c r="C194" s="38" t="s">
        <v>159</v>
      </c>
      <c r="D194" s="38" t="s">
        <v>573</v>
      </c>
      <c r="E194" s="39" t="s">
        <v>574</v>
      </c>
      <c r="F194" s="39" t="s">
        <v>416</v>
      </c>
    </row>
    <row r="195" spans="1:6" ht="39" customHeight="1" x14ac:dyDescent="0.25">
      <c r="A195" s="42">
        <f t="shared" si="2"/>
        <v>187</v>
      </c>
      <c r="B195" s="37" t="s">
        <v>154</v>
      </c>
      <c r="C195" s="38" t="s">
        <v>158</v>
      </c>
      <c r="D195" s="38" t="s">
        <v>575</v>
      </c>
      <c r="E195" s="39">
        <v>8099913002</v>
      </c>
      <c r="F195" s="39" t="s">
        <v>416</v>
      </c>
    </row>
    <row r="196" spans="1:6" ht="39" customHeight="1" x14ac:dyDescent="0.25">
      <c r="A196" s="42">
        <f t="shared" si="2"/>
        <v>188</v>
      </c>
      <c r="B196" s="37" t="s">
        <v>154</v>
      </c>
      <c r="C196" s="38" t="s">
        <v>160</v>
      </c>
      <c r="D196" s="38" t="s">
        <v>576</v>
      </c>
      <c r="E196" s="39">
        <v>8099912454</v>
      </c>
      <c r="F196" s="39" t="s">
        <v>416</v>
      </c>
    </row>
    <row r="197" spans="1:6" ht="39" customHeight="1" x14ac:dyDescent="0.25">
      <c r="A197" s="42">
        <f t="shared" si="2"/>
        <v>189</v>
      </c>
      <c r="B197" s="37" t="s">
        <v>154</v>
      </c>
      <c r="C197" s="38" t="s">
        <v>724</v>
      </c>
      <c r="D197" s="38" t="s">
        <v>725</v>
      </c>
      <c r="E197" s="39">
        <v>8293088876</v>
      </c>
      <c r="F197" s="39" t="s">
        <v>416</v>
      </c>
    </row>
    <row r="198" spans="1:6" ht="39" customHeight="1" x14ac:dyDescent="0.25">
      <c r="A198" s="42">
        <f t="shared" si="2"/>
        <v>190</v>
      </c>
      <c r="B198" s="37" t="s">
        <v>161</v>
      </c>
      <c r="C198" s="38" t="s">
        <v>170</v>
      </c>
      <c r="D198" s="38" t="s">
        <v>577</v>
      </c>
      <c r="E198" s="39">
        <v>8099913182</v>
      </c>
      <c r="F198" s="39" t="s">
        <v>443</v>
      </c>
    </row>
    <row r="199" spans="1:6" ht="39" customHeight="1" x14ac:dyDescent="0.25">
      <c r="A199" s="42">
        <f t="shared" si="2"/>
        <v>191</v>
      </c>
      <c r="B199" s="37" t="s">
        <v>161</v>
      </c>
      <c r="C199" s="38" t="s">
        <v>166</v>
      </c>
      <c r="D199" s="38" t="s">
        <v>578</v>
      </c>
      <c r="E199" s="39">
        <v>8099911637</v>
      </c>
      <c r="F199" s="39" t="s">
        <v>416</v>
      </c>
    </row>
    <row r="200" spans="1:6" ht="39" customHeight="1" x14ac:dyDescent="0.25">
      <c r="A200" s="42">
        <f t="shared" si="2"/>
        <v>192</v>
      </c>
      <c r="B200" s="37" t="s">
        <v>161</v>
      </c>
      <c r="C200" s="38" t="s">
        <v>169</v>
      </c>
      <c r="D200" s="38" t="s">
        <v>579</v>
      </c>
      <c r="E200" s="39">
        <v>8099913092</v>
      </c>
      <c r="F200" s="39" t="s">
        <v>580</v>
      </c>
    </row>
    <row r="201" spans="1:6" ht="39" customHeight="1" x14ac:dyDescent="0.25">
      <c r="A201" s="42">
        <f t="shared" si="2"/>
        <v>193</v>
      </c>
      <c r="B201" s="37" t="s">
        <v>161</v>
      </c>
      <c r="C201" s="38" t="s">
        <v>162</v>
      </c>
      <c r="D201" s="38" t="s">
        <v>581</v>
      </c>
      <c r="E201" s="39">
        <v>8293089613</v>
      </c>
      <c r="F201" s="39" t="s">
        <v>416</v>
      </c>
    </row>
    <row r="202" spans="1:6" ht="39" customHeight="1" x14ac:dyDescent="0.25">
      <c r="A202" s="42">
        <f t="shared" si="2"/>
        <v>194</v>
      </c>
      <c r="B202" s="37" t="s">
        <v>161</v>
      </c>
      <c r="C202" s="38" t="s">
        <v>163</v>
      </c>
      <c r="D202" s="38" t="s">
        <v>726</v>
      </c>
      <c r="E202" s="39">
        <v>8099913190</v>
      </c>
      <c r="F202" s="39" t="s">
        <v>416</v>
      </c>
    </row>
    <row r="203" spans="1:6" ht="39" customHeight="1" x14ac:dyDescent="0.25">
      <c r="A203" s="42">
        <f>+A202+1</f>
        <v>195</v>
      </c>
      <c r="B203" s="37" t="s">
        <v>161</v>
      </c>
      <c r="C203" s="38" t="s">
        <v>164</v>
      </c>
      <c r="D203" s="38" t="s">
        <v>727</v>
      </c>
      <c r="E203" s="39">
        <v>8099913175</v>
      </c>
      <c r="F203" s="39" t="s">
        <v>416</v>
      </c>
    </row>
    <row r="204" spans="1:6" ht="39" customHeight="1" x14ac:dyDescent="0.25">
      <c r="A204" s="42">
        <f>+A203+1</f>
        <v>196</v>
      </c>
      <c r="B204" s="37" t="s">
        <v>161</v>
      </c>
      <c r="C204" s="38" t="s">
        <v>165</v>
      </c>
      <c r="D204" s="38" t="s">
        <v>728</v>
      </c>
      <c r="E204" s="39">
        <v>8097080775</v>
      </c>
      <c r="F204" s="39" t="s">
        <v>416</v>
      </c>
    </row>
    <row r="205" spans="1:6" ht="39" customHeight="1" x14ac:dyDescent="0.25">
      <c r="A205" s="42">
        <f>+A204+1</f>
        <v>197</v>
      </c>
      <c r="B205" s="37" t="s">
        <v>161</v>
      </c>
      <c r="C205" s="38" t="s">
        <v>167</v>
      </c>
      <c r="D205" s="38" t="s">
        <v>729</v>
      </c>
      <c r="E205" s="39">
        <v>8299220216</v>
      </c>
      <c r="F205" s="39" t="s">
        <v>416</v>
      </c>
    </row>
    <row r="206" spans="1:6" ht="39" customHeight="1" x14ac:dyDescent="0.25">
      <c r="A206" s="42">
        <f>+A205+1</f>
        <v>198</v>
      </c>
      <c r="B206" s="37" t="s">
        <v>161</v>
      </c>
      <c r="C206" s="38" t="s">
        <v>168</v>
      </c>
      <c r="D206" s="38" t="s">
        <v>730</v>
      </c>
      <c r="E206" s="39">
        <v>8099913187</v>
      </c>
      <c r="F206" s="39" t="s">
        <v>443</v>
      </c>
    </row>
    <row r="207" spans="1:6" ht="39" customHeight="1" x14ac:dyDescent="0.25">
      <c r="A207" s="42">
        <f>+A206+1</f>
        <v>199</v>
      </c>
      <c r="B207" s="37" t="s">
        <v>582</v>
      </c>
      <c r="C207" s="38" t="s">
        <v>172</v>
      </c>
      <c r="D207" s="38" t="s">
        <v>583</v>
      </c>
      <c r="E207" s="39">
        <v>8299224146</v>
      </c>
      <c r="F207" s="39" t="s">
        <v>584</v>
      </c>
    </row>
    <row r="208" spans="1:6" ht="39" customHeight="1" x14ac:dyDescent="0.25">
      <c r="A208" s="42">
        <f t="shared" ref="A208:A300" si="3">+A207+1</f>
        <v>200</v>
      </c>
      <c r="B208" s="37" t="s">
        <v>582</v>
      </c>
      <c r="C208" s="38" t="s">
        <v>173</v>
      </c>
      <c r="D208" s="38" t="s">
        <v>585</v>
      </c>
      <c r="E208" s="39">
        <v>8099913667</v>
      </c>
      <c r="F208" s="40" t="s">
        <v>418</v>
      </c>
    </row>
    <row r="209" spans="1:6" ht="39" customHeight="1" x14ac:dyDescent="0.25">
      <c r="A209" s="42">
        <f t="shared" si="3"/>
        <v>201</v>
      </c>
      <c r="B209" s="37" t="s">
        <v>582</v>
      </c>
      <c r="C209" s="38" t="s">
        <v>174</v>
      </c>
      <c r="D209" s="38" t="s">
        <v>586</v>
      </c>
      <c r="E209" s="39">
        <v>8299224236</v>
      </c>
      <c r="F209" s="39" t="s">
        <v>416</v>
      </c>
    </row>
    <row r="210" spans="1:6" ht="39" customHeight="1" x14ac:dyDescent="0.25">
      <c r="A210" s="42">
        <f t="shared" si="3"/>
        <v>202</v>
      </c>
      <c r="B210" s="37" t="s">
        <v>582</v>
      </c>
      <c r="C210" s="38" t="s">
        <v>176</v>
      </c>
      <c r="D210" s="38" t="s">
        <v>587</v>
      </c>
      <c r="E210" s="39">
        <v>8299224095</v>
      </c>
      <c r="F210" s="39" t="s">
        <v>416</v>
      </c>
    </row>
    <row r="211" spans="1:6" ht="39" customHeight="1" x14ac:dyDescent="0.25">
      <c r="A211" s="42">
        <f t="shared" si="3"/>
        <v>203</v>
      </c>
      <c r="B211" s="37" t="s">
        <v>582</v>
      </c>
      <c r="C211" s="38" t="s">
        <v>175</v>
      </c>
      <c r="D211" s="38" t="s">
        <v>731</v>
      </c>
      <c r="E211" s="39">
        <v>8299224125</v>
      </c>
      <c r="F211" s="39" t="s">
        <v>416</v>
      </c>
    </row>
    <row r="212" spans="1:6" ht="39" customHeight="1" x14ac:dyDescent="0.25">
      <c r="A212" s="42">
        <f t="shared" si="3"/>
        <v>204</v>
      </c>
      <c r="B212" s="37" t="s">
        <v>177</v>
      </c>
      <c r="C212" s="37" t="s">
        <v>186</v>
      </c>
      <c r="D212" s="37" t="s">
        <v>588</v>
      </c>
      <c r="E212" s="39">
        <v>8293088469</v>
      </c>
      <c r="F212" s="39" t="s">
        <v>444</v>
      </c>
    </row>
    <row r="213" spans="1:6" ht="39" customHeight="1" x14ac:dyDescent="0.25">
      <c r="A213" s="42">
        <f t="shared" si="3"/>
        <v>205</v>
      </c>
      <c r="B213" s="37" t="s">
        <v>177</v>
      </c>
      <c r="C213" s="38" t="s">
        <v>192</v>
      </c>
      <c r="D213" s="36" t="s">
        <v>589</v>
      </c>
      <c r="E213" s="39">
        <v>8099911421</v>
      </c>
      <c r="F213" s="39" t="s">
        <v>443</v>
      </c>
    </row>
    <row r="214" spans="1:6" ht="39" customHeight="1" x14ac:dyDescent="0.25">
      <c r="A214" s="42">
        <f t="shared" si="3"/>
        <v>206</v>
      </c>
      <c r="B214" s="37" t="s">
        <v>177</v>
      </c>
      <c r="C214" s="38" t="s">
        <v>202</v>
      </c>
      <c r="D214" s="36" t="s">
        <v>590</v>
      </c>
      <c r="E214" s="39">
        <v>8496427811</v>
      </c>
      <c r="F214" s="39" t="s">
        <v>443</v>
      </c>
    </row>
    <row r="215" spans="1:6" ht="39" customHeight="1" x14ac:dyDescent="0.25">
      <c r="A215" s="42">
        <f t="shared" si="3"/>
        <v>207</v>
      </c>
      <c r="B215" s="37" t="s">
        <v>177</v>
      </c>
      <c r="C215" s="38" t="s">
        <v>179</v>
      </c>
      <c r="D215" s="38" t="s">
        <v>591</v>
      </c>
      <c r="E215" s="39">
        <v>8498046741</v>
      </c>
      <c r="F215" s="39" t="s">
        <v>443</v>
      </c>
    </row>
    <row r="216" spans="1:6" ht="39" customHeight="1" x14ac:dyDescent="0.25">
      <c r="A216" s="42">
        <f t="shared" si="3"/>
        <v>208</v>
      </c>
      <c r="B216" s="37" t="s">
        <v>177</v>
      </c>
      <c r="C216" s="38" t="s">
        <v>180</v>
      </c>
      <c r="D216" s="38" t="s">
        <v>592</v>
      </c>
      <c r="E216" s="39">
        <v>8498048574</v>
      </c>
      <c r="F216" s="39" t="s">
        <v>443</v>
      </c>
    </row>
    <row r="217" spans="1:6" ht="39" customHeight="1" x14ac:dyDescent="0.25">
      <c r="A217" s="42">
        <f t="shared" si="3"/>
        <v>209</v>
      </c>
      <c r="B217" s="37" t="s">
        <v>177</v>
      </c>
      <c r="C217" s="38" t="s">
        <v>181</v>
      </c>
      <c r="D217" s="38" t="s">
        <v>593</v>
      </c>
      <c r="E217" s="39">
        <v>8498046739</v>
      </c>
      <c r="F217" s="39" t="s">
        <v>443</v>
      </c>
    </row>
    <row r="218" spans="1:6" ht="39" customHeight="1" x14ac:dyDescent="0.25">
      <c r="A218" s="42">
        <f t="shared" si="3"/>
        <v>210</v>
      </c>
      <c r="B218" s="37" t="s">
        <v>177</v>
      </c>
      <c r="C218" s="38" t="s">
        <v>184</v>
      </c>
      <c r="D218" s="38" t="s">
        <v>594</v>
      </c>
      <c r="E218" s="39">
        <v>8098660028</v>
      </c>
      <c r="F218" s="39" t="s">
        <v>443</v>
      </c>
    </row>
    <row r="219" spans="1:6" ht="39" customHeight="1" x14ac:dyDescent="0.25">
      <c r="A219" s="42">
        <f t="shared" si="3"/>
        <v>211</v>
      </c>
      <c r="B219" s="37" t="s">
        <v>177</v>
      </c>
      <c r="C219" s="38" t="s">
        <v>189</v>
      </c>
      <c r="D219" s="36" t="s">
        <v>595</v>
      </c>
      <c r="E219" s="39">
        <v>8498046751</v>
      </c>
      <c r="F219" s="40" t="s">
        <v>418</v>
      </c>
    </row>
    <row r="220" spans="1:6" ht="39" customHeight="1" x14ac:dyDescent="0.25">
      <c r="A220" s="42">
        <f t="shared" si="3"/>
        <v>212</v>
      </c>
      <c r="B220" s="37" t="s">
        <v>177</v>
      </c>
      <c r="C220" s="38" t="s">
        <v>190</v>
      </c>
      <c r="D220" s="36" t="s">
        <v>596</v>
      </c>
      <c r="E220" s="39">
        <v>8099910881</v>
      </c>
      <c r="F220" s="39" t="s">
        <v>443</v>
      </c>
    </row>
    <row r="221" spans="1:6" ht="39" customHeight="1" x14ac:dyDescent="0.25">
      <c r="A221" s="42">
        <f t="shared" si="3"/>
        <v>213</v>
      </c>
      <c r="B221" s="37" t="s">
        <v>177</v>
      </c>
      <c r="C221" s="38" t="s">
        <v>195</v>
      </c>
      <c r="D221" s="36" t="s">
        <v>597</v>
      </c>
      <c r="E221" s="39">
        <v>8099911241</v>
      </c>
      <c r="F221" s="39" t="s">
        <v>443</v>
      </c>
    </row>
    <row r="222" spans="1:6" ht="39" customHeight="1" x14ac:dyDescent="0.25">
      <c r="A222" s="42">
        <f t="shared" si="3"/>
        <v>214</v>
      </c>
      <c r="B222" s="37" t="s">
        <v>177</v>
      </c>
      <c r="C222" s="38" t="s">
        <v>200</v>
      </c>
      <c r="D222" s="36" t="s">
        <v>598</v>
      </c>
      <c r="E222" s="39">
        <v>8299220808</v>
      </c>
      <c r="F222" s="39" t="s">
        <v>443</v>
      </c>
    </row>
    <row r="223" spans="1:6" ht="39" customHeight="1" x14ac:dyDescent="0.25">
      <c r="A223" s="42">
        <f t="shared" si="3"/>
        <v>215</v>
      </c>
      <c r="B223" s="37" t="s">
        <v>177</v>
      </c>
      <c r="C223" s="38" t="s">
        <v>599</v>
      </c>
      <c r="D223" s="36" t="s">
        <v>600</v>
      </c>
      <c r="E223" s="41">
        <v>8097080641</v>
      </c>
      <c r="F223" s="39" t="s">
        <v>443</v>
      </c>
    </row>
    <row r="224" spans="1:6" ht="39" customHeight="1" x14ac:dyDescent="0.25">
      <c r="A224" s="42">
        <f t="shared" si="3"/>
        <v>216</v>
      </c>
      <c r="B224" s="37" t="s">
        <v>177</v>
      </c>
      <c r="C224" s="36" t="s">
        <v>188</v>
      </c>
      <c r="D224" s="36" t="s">
        <v>601</v>
      </c>
      <c r="E224" s="39">
        <v>8099911960</v>
      </c>
      <c r="F224" s="39" t="s">
        <v>416</v>
      </c>
    </row>
    <row r="225" spans="1:6" ht="39" customHeight="1" x14ac:dyDescent="0.25">
      <c r="A225" s="42">
        <f t="shared" si="3"/>
        <v>217</v>
      </c>
      <c r="B225" s="37" t="s">
        <v>177</v>
      </c>
      <c r="C225" s="36" t="s">
        <v>602</v>
      </c>
      <c r="D225" s="36" t="s">
        <v>603</v>
      </c>
      <c r="E225" s="39">
        <v>8299220396</v>
      </c>
      <c r="F225" s="39" t="s">
        <v>443</v>
      </c>
    </row>
    <row r="226" spans="1:6" ht="39" customHeight="1" x14ac:dyDescent="0.25">
      <c r="A226" s="42">
        <f t="shared" si="3"/>
        <v>218</v>
      </c>
      <c r="B226" s="37" t="s">
        <v>177</v>
      </c>
      <c r="C226" s="36" t="s">
        <v>604</v>
      </c>
      <c r="D226" s="36" t="s">
        <v>605</v>
      </c>
      <c r="E226" s="39">
        <v>8099912934</v>
      </c>
      <c r="F226" s="39" t="s">
        <v>444</v>
      </c>
    </row>
    <row r="227" spans="1:6" ht="39" customHeight="1" x14ac:dyDescent="0.25">
      <c r="A227" s="42">
        <f t="shared" si="3"/>
        <v>219</v>
      </c>
      <c r="B227" s="37" t="s">
        <v>177</v>
      </c>
      <c r="C227" s="36" t="s">
        <v>178</v>
      </c>
      <c r="D227" s="36" t="s">
        <v>732</v>
      </c>
      <c r="E227" s="39">
        <v>8099913296</v>
      </c>
      <c r="F227" s="39" t="s">
        <v>443</v>
      </c>
    </row>
    <row r="228" spans="1:6" ht="39" customHeight="1" x14ac:dyDescent="0.25">
      <c r="A228" s="42">
        <f t="shared" si="3"/>
        <v>220</v>
      </c>
      <c r="B228" s="37" t="s">
        <v>177</v>
      </c>
      <c r="C228" s="36" t="s">
        <v>182</v>
      </c>
      <c r="D228" s="36" t="s">
        <v>733</v>
      </c>
      <c r="E228" s="39">
        <v>8497633652</v>
      </c>
      <c r="F228" s="39" t="s">
        <v>443</v>
      </c>
    </row>
    <row r="229" spans="1:6" ht="39" customHeight="1" x14ac:dyDescent="0.25">
      <c r="A229" s="42">
        <f t="shared" si="3"/>
        <v>221</v>
      </c>
      <c r="B229" s="37" t="s">
        <v>177</v>
      </c>
      <c r="C229" s="36" t="s">
        <v>183</v>
      </c>
      <c r="D229" s="36" t="s">
        <v>734</v>
      </c>
      <c r="E229" s="39">
        <v>8098781578</v>
      </c>
      <c r="F229" s="39" t="s">
        <v>443</v>
      </c>
    </row>
    <row r="230" spans="1:6" ht="39" customHeight="1" x14ac:dyDescent="0.25">
      <c r="A230" s="42">
        <f t="shared" si="3"/>
        <v>222</v>
      </c>
      <c r="B230" s="37" t="s">
        <v>177</v>
      </c>
      <c r="C230" s="36" t="s">
        <v>185</v>
      </c>
      <c r="D230" s="36" t="s">
        <v>735</v>
      </c>
      <c r="E230" s="39">
        <v>8498046458</v>
      </c>
      <c r="F230" s="39" t="s">
        <v>443</v>
      </c>
    </row>
    <row r="231" spans="1:6" ht="39" customHeight="1" x14ac:dyDescent="0.25">
      <c r="A231" s="42">
        <f t="shared" si="3"/>
        <v>223</v>
      </c>
      <c r="B231" s="37" t="s">
        <v>177</v>
      </c>
      <c r="C231" s="36" t="s">
        <v>187</v>
      </c>
      <c r="D231" s="36" t="s">
        <v>736</v>
      </c>
      <c r="E231" s="39">
        <v>8496427808</v>
      </c>
      <c r="F231" s="39" t="s">
        <v>443</v>
      </c>
    </row>
    <row r="232" spans="1:6" ht="39" customHeight="1" x14ac:dyDescent="0.25">
      <c r="A232" s="42">
        <f t="shared" si="3"/>
        <v>224</v>
      </c>
      <c r="B232" s="37" t="s">
        <v>177</v>
      </c>
      <c r="C232" s="36" t="s">
        <v>191</v>
      </c>
      <c r="D232" s="36" t="s">
        <v>737</v>
      </c>
      <c r="E232" s="39">
        <v>8099911678</v>
      </c>
      <c r="F232" s="39" t="s">
        <v>443</v>
      </c>
    </row>
    <row r="233" spans="1:6" ht="39" customHeight="1" x14ac:dyDescent="0.25">
      <c r="A233" s="42">
        <f t="shared" si="3"/>
        <v>225</v>
      </c>
      <c r="B233" s="37" t="s">
        <v>177</v>
      </c>
      <c r="C233" s="36" t="s">
        <v>194</v>
      </c>
      <c r="D233" s="36" t="s">
        <v>738</v>
      </c>
      <c r="E233" s="39">
        <v>8498046859</v>
      </c>
      <c r="F233" s="39" t="s">
        <v>739</v>
      </c>
    </row>
    <row r="234" spans="1:6" ht="39" customHeight="1" x14ac:dyDescent="0.25">
      <c r="A234" s="42">
        <f t="shared" si="3"/>
        <v>226</v>
      </c>
      <c r="B234" s="37" t="s">
        <v>177</v>
      </c>
      <c r="C234" s="36" t="s">
        <v>196</v>
      </c>
      <c r="D234" s="36" t="s">
        <v>740</v>
      </c>
      <c r="E234" s="39">
        <v>8497632914</v>
      </c>
      <c r="F234" s="39" t="s">
        <v>443</v>
      </c>
    </row>
    <row r="235" spans="1:6" ht="39" customHeight="1" x14ac:dyDescent="0.25">
      <c r="A235" s="42">
        <f t="shared" si="3"/>
        <v>227</v>
      </c>
      <c r="B235" s="37" t="s">
        <v>177</v>
      </c>
      <c r="C235" s="36" t="s">
        <v>197</v>
      </c>
      <c r="D235" s="36" t="s">
        <v>741</v>
      </c>
      <c r="E235" s="39">
        <v>8293088463</v>
      </c>
      <c r="F235" s="39" t="s">
        <v>443</v>
      </c>
    </row>
    <row r="236" spans="1:6" ht="39" customHeight="1" x14ac:dyDescent="0.25">
      <c r="A236" s="42">
        <f t="shared" si="3"/>
        <v>228</v>
      </c>
      <c r="B236" s="37" t="s">
        <v>177</v>
      </c>
      <c r="C236" s="36" t="s">
        <v>199</v>
      </c>
      <c r="D236" s="36" t="s">
        <v>742</v>
      </c>
      <c r="E236" s="39">
        <v>8498047738</v>
      </c>
      <c r="F236" s="39" t="s">
        <v>416</v>
      </c>
    </row>
    <row r="237" spans="1:6" ht="39" customHeight="1" x14ac:dyDescent="0.25">
      <c r="A237" s="42">
        <f t="shared" si="3"/>
        <v>229</v>
      </c>
      <c r="B237" s="37" t="s">
        <v>177</v>
      </c>
      <c r="C237" s="36" t="s">
        <v>201</v>
      </c>
      <c r="D237" s="36" t="s">
        <v>743</v>
      </c>
      <c r="E237" s="39">
        <v>8099912947</v>
      </c>
      <c r="F237" s="39" t="s">
        <v>443</v>
      </c>
    </row>
    <row r="238" spans="1:6" ht="39" customHeight="1" x14ac:dyDescent="0.25">
      <c r="A238" s="42">
        <f t="shared" si="3"/>
        <v>230</v>
      </c>
      <c r="B238" s="37" t="s">
        <v>177</v>
      </c>
      <c r="C238" s="36" t="s">
        <v>203</v>
      </c>
      <c r="D238" s="36" t="s">
        <v>744</v>
      </c>
      <c r="E238" s="41">
        <v>8497634312</v>
      </c>
      <c r="F238" s="39" t="s">
        <v>416</v>
      </c>
    </row>
    <row r="239" spans="1:6" ht="39" customHeight="1" x14ac:dyDescent="0.25">
      <c r="A239" s="42">
        <f t="shared" si="3"/>
        <v>231</v>
      </c>
      <c r="B239" s="37" t="s">
        <v>177</v>
      </c>
      <c r="C239" s="36" t="s">
        <v>205</v>
      </c>
      <c r="D239" s="36" t="s">
        <v>745</v>
      </c>
      <c r="E239" s="39">
        <v>8496427812</v>
      </c>
      <c r="F239" s="39" t="s">
        <v>443</v>
      </c>
    </row>
    <row r="240" spans="1:6" ht="39" customHeight="1" x14ac:dyDescent="0.25">
      <c r="A240" s="42">
        <f t="shared" si="3"/>
        <v>232</v>
      </c>
      <c r="B240" s="37" t="s">
        <v>177</v>
      </c>
      <c r="C240" s="36" t="s">
        <v>206</v>
      </c>
      <c r="D240" s="36" t="s">
        <v>746</v>
      </c>
      <c r="E240" s="39">
        <v>8097080612</v>
      </c>
      <c r="F240" s="39" t="s">
        <v>443</v>
      </c>
    </row>
    <row r="241" spans="1:6" ht="39" customHeight="1" x14ac:dyDescent="0.25">
      <c r="A241" s="42">
        <f t="shared" si="3"/>
        <v>233</v>
      </c>
      <c r="B241" s="37" t="s">
        <v>177</v>
      </c>
      <c r="C241" s="36" t="s">
        <v>747</v>
      </c>
      <c r="D241" s="36" t="s">
        <v>748</v>
      </c>
      <c r="E241" s="39">
        <v>8099913146</v>
      </c>
      <c r="F241" s="39" t="s">
        <v>443</v>
      </c>
    </row>
    <row r="242" spans="1:6" ht="39" customHeight="1" x14ac:dyDescent="0.25">
      <c r="A242" s="42">
        <f t="shared" si="3"/>
        <v>234</v>
      </c>
      <c r="B242" s="37" t="s">
        <v>177</v>
      </c>
      <c r="C242" s="36" t="s">
        <v>207</v>
      </c>
      <c r="D242" s="36" t="s">
        <v>749</v>
      </c>
      <c r="E242" s="39">
        <v>8497638526</v>
      </c>
      <c r="F242" s="39" t="s">
        <v>443</v>
      </c>
    </row>
    <row r="243" spans="1:6" ht="39" customHeight="1" x14ac:dyDescent="0.25">
      <c r="A243" s="42">
        <f t="shared" si="3"/>
        <v>235</v>
      </c>
      <c r="B243" s="37" t="s">
        <v>177</v>
      </c>
      <c r="C243" s="36" t="s">
        <v>208</v>
      </c>
      <c r="D243" s="36" t="s">
        <v>750</v>
      </c>
      <c r="E243" s="39">
        <v>8497633648</v>
      </c>
      <c r="F243" s="39" t="s">
        <v>443</v>
      </c>
    </row>
    <row r="244" spans="1:6" ht="39" customHeight="1" x14ac:dyDescent="0.25">
      <c r="A244" s="42">
        <f t="shared" si="3"/>
        <v>236</v>
      </c>
      <c r="B244" s="37" t="s">
        <v>606</v>
      </c>
      <c r="C244" s="38" t="s">
        <v>210</v>
      </c>
      <c r="D244" s="36" t="s">
        <v>607</v>
      </c>
      <c r="E244" s="39">
        <v>8099912937</v>
      </c>
      <c r="F244" s="39" t="s">
        <v>416</v>
      </c>
    </row>
    <row r="245" spans="1:6" ht="39" customHeight="1" x14ac:dyDescent="0.25">
      <c r="A245" s="42">
        <f t="shared" si="3"/>
        <v>237</v>
      </c>
      <c r="B245" s="37" t="s">
        <v>606</v>
      </c>
      <c r="C245" s="38" t="s">
        <v>608</v>
      </c>
      <c r="D245" s="36" t="s">
        <v>609</v>
      </c>
      <c r="E245" s="39">
        <v>8099911700</v>
      </c>
      <c r="F245" s="40" t="s">
        <v>418</v>
      </c>
    </row>
    <row r="246" spans="1:6" ht="39" customHeight="1" x14ac:dyDescent="0.25">
      <c r="A246" s="42">
        <f t="shared" si="3"/>
        <v>238</v>
      </c>
      <c r="B246" s="36" t="s">
        <v>255</v>
      </c>
      <c r="C246" s="38" t="s">
        <v>263</v>
      </c>
      <c r="D246" s="38" t="s">
        <v>610</v>
      </c>
      <c r="E246" s="39">
        <v>8099911924</v>
      </c>
      <c r="F246" s="39" t="s">
        <v>416</v>
      </c>
    </row>
    <row r="247" spans="1:6" ht="39" customHeight="1" x14ac:dyDescent="0.25">
      <c r="A247" s="42">
        <f t="shared" si="3"/>
        <v>239</v>
      </c>
      <c r="B247" s="37" t="s">
        <v>255</v>
      </c>
      <c r="C247" s="38" t="s">
        <v>256</v>
      </c>
      <c r="D247" s="36" t="s">
        <v>611</v>
      </c>
      <c r="E247" s="39">
        <v>8293089509</v>
      </c>
      <c r="F247" s="40" t="s">
        <v>418</v>
      </c>
    </row>
    <row r="248" spans="1:6" ht="39" customHeight="1" x14ac:dyDescent="0.25">
      <c r="A248" s="42">
        <f t="shared" si="3"/>
        <v>240</v>
      </c>
      <c r="B248" s="36" t="s">
        <v>255</v>
      </c>
      <c r="C248" s="38" t="s">
        <v>32</v>
      </c>
      <c r="D248" s="38" t="s">
        <v>612</v>
      </c>
      <c r="E248" s="39">
        <v>8099913203</v>
      </c>
      <c r="F248" s="39" t="s">
        <v>613</v>
      </c>
    </row>
    <row r="249" spans="1:6" ht="39" customHeight="1" x14ac:dyDescent="0.25">
      <c r="A249" s="42">
        <f t="shared" si="3"/>
        <v>241</v>
      </c>
      <c r="B249" s="36" t="s">
        <v>255</v>
      </c>
      <c r="C249" s="38" t="s">
        <v>261</v>
      </c>
      <c r="D249" s="38" t="s">
        <v>614</v>
      </c>
      <c r="E249" s="39">
        <v>8099911986</v>
      </c>
      <c r="F249" s="39" t="s">
        <v>416</v>
      </c>
    </row>
    <row r="250" spans="1:6" ht="39" customHeight="1" x14ac:dyDescent="0.25">
      <c r="A250" s="42">
        <f t="shared" si="3"/>
        <v>242</v>
      </c>
      <c r="B250" s="36" t="s">
        <v>255</v>
      </c>
      <c r="C250" s="38" t="s">
        <v>615</v>
      </c>
      <c r="D250" s="38" t="s">
        <v>616</v>
      </c>
      <c r="E250" s="39">
        <v>8099911510</v>
      </c>
      <c r="F250" s="39" t="s">
        <v>508</v>
      </c>
    </row>
    <row r="251" spans="1:6" ht="39" customHeight="1" x14ac:dyDescent="0.25">
      <c r="A251" s="42">
        <f t="shared" si="3"/>
        <v>243</v>
      </c>
      <c r="B251" s="36" t="s">
        <v>255</v>
      </c>
      <c r="C251" s="38" t="s">
        <v>617</v>
      </c>
      <c r="D251" s="38" t="s">
        <v>618</v>
      </c>
      <c r="E251" s="39">
        <v>8299220167</v>
      </c>
      <c r="F251" s="40" t="s">
        <v>418</v>
      </c>
    </row>
    <row r="252" spans="1:6" ht="39" customHeight="1" x14ac:dyDescent="0.25">
      <c r="A252" s="42">
        <f t="shared" si="3"/>
        <v>244</v>
      </c>
      <c r="B252" s="36" t="s">
        <v>255</v>
      </c>
      <c r="C252" s="38" t="s">
        <v>264</v>
      </c>
      <c r="D252" s="38" t="s">
        <v>619</v>
      </c>
      <c r="E252" s="39">
        <v>8098781579</v>
      </c>
      <c r="F252" s="40" t="s">
        <v>418</v>
      </c>
    </row>
    <row r="253" spans="1:6" ht="39" customHeight="1" x14ac:dyDescent="0.25">
      <c r="A253" s="42">
        <f t="shared" si="3"/>
        <v>245</v>
      </c>
      <c r="B253" s="36" t="s">
        <v>255</v>
      </c>
      <c r="C253" s="38" t="s">
        <v>257</v>
      </c>
      <c r="D253" s="38" t="s">
        <v>751</v>
      </c>
      <c r="E253" s="39">
        <v>8299220678</v>
      </c>
      <c r="F253" s="40" t="s">
        <v>416</v>
      </c>
    </row>
    <row r="254" spans="1:6" ht="39" customHeight="1" x14ac:dyDescent="0.25">
      <c r="A254" s="42">
        <f t="shared" si="3"/>
        <v>246</v>
      </c>
      <c r="B254" s="36" t="s">
        <v>255</v>
      </c>
      <c r="C254" s="38" t="s">
        <v>31</v>
      </c>
      <c r="D254" s="38" t="s">
        <v>752</v>
      </c>
      <c r="E254" s="39">
        <v>8099911423</v>
      </c>
      <c r="F254" s="40" t="s">
        <v>443</v>
      </c>
    </row>
    <row r="255" spans="1:6" ht="39" customHeight="1" x14ac:dyDescent="0.25">
      <c r="A255" s="42">
        <f t="shared" si="3"/>
        <v>247</v>
      </c>
      <c r="B255" s="36" t="s">
        <v>255</v>
      </c>
      <c r="C255" s="38" t="s">
        <v>258</v>
      </c>
      <c r="D255" s="38" t="s">
        <v>753</v>
      </c>
      <c r="E255" s="39">
        <v>8293089644</v>
      </c>
      <c r="F255" s="40" t="s">
        <v>416</v>
      </c>
    </row>
    <row r="256" spans="1:6" ht="39" customHeight="1" x14ac:dyDescent="0.25">
      <c r="A256" s="42">
        <f t="shared" si="3"/>
        <v>248</v>
      </c>
      <c r="B256" s="36" t="s">
        <v>255</v>
      </c>
      <c r="C256" s="38" t="s">
        <v>259</v>
      </c>
      <c r="D256" s="38" t="s">
        <v>754</v>
      </c>
      <c r="E256" s="39">
        <v>8099912300</v>
      </c>
      <c r="F256" s="40" t="s">
        <v>416</v>
      </c>
    </row>
    <row r="257" spans="1:6" ht="39" customHeight="1" x14ac:dyDescent="0.25">
      <c r="A257" s="42">
        <f t="shared" si="3"/>
        <v>249</v>
      </c>
      <c r="B257" s="36" t="s">
        <v>255</v>
      </c>
      <c r="C257" s="38" t="s">
        <v>260</v>
      </c>
      <c r="D257" s="38">
        <v>0</v>
      </c>
      <c r="E257" s="39">
        <v>8099911955</v>
      </c>
      <c r="F257" s="40" t="s">
        <v>416</v>
      </c>
    </row>
    <row r="258" spans="1:6" ht="39" customHeight="1" x14ac:dyDescent="0.25">
      <c r="A258" s="42">
        <f t="shared" si="3"/>
        <v>250</v>
      </c>
      <c r="B258" s="36" t="s">
        <v>255</v>
      </c>
      <c r="C258" s="38" t="s">
        <v>755</v>
      </c>
      <c r="D258" s="38" t="s">
        <v>756</v>
      </c>
      <c r="E258" s="39">
        <v>8099911471</v>
      </c>
      <c r="F258" s="40" t="s">
        <v>416</v>
      </c>
    </row>
    <row r="259" spans="1:6" ht="39" customHeight="1" x14ac:dyDescent="0.25">
      <c r="A259" s="42">
        <f t="shared" si="3"/>
        <v>251</v>
      </c>
      <c r="B259" s="36" t="s">
        <v>255</v>
      </c>
      <c r="C259" s="38" t="s">
        <v>262</v>
      </c>
      <c r="D259" s="38" t="s">
        <v>757</v>
      </c>
      <c r="E259" s="39">
        <v>8099911460</v>
      </c>
      <c r="F259" s="40" t="s">
        <v>652</v>
      </c>
    </row>
    <row r="260" spans="1:6" ht="39" customHeight="1" x14ac:dyDescent="0.25">
      <c r="A260" s="42">
        <f t="shared" si="3"/>
        <v>252</v>
      </c>
      <c r="B260" s="36" t="s">
        <v>255</v>
      </c>
      <c r="C260" s="38" t="s">
        <v>265</v>
      </c>
      <c r="D260" s="38" t="s">
        <v>758</v>
      </c>
      <c r="E260" s="39">
        <v>8099910798</v>
      </c>
      <c r="F260" s="40" t="s">
        <v>416</v>
      </c>
    </row>
    <row r="261" spans="1:6" ht="39" customHeight="1" x14ac:dyDescent="0.25">
      <c r="A261" s="42">
        <f t="shared" si="3"/>
        <v>253</v>
      </c>
      <c r="B261" s="36" t="s">
        <v>255</v>
      </c>
      <c r="C261" s="38" t="s">
        <v>266</v>
      </c>
      <c r="D261" s="38">
        <v>0</v>
      </c>
      <c r="E261" s="39">
        <v>8099912490</v>
      </c>
      <c r="F261" s="40" t="s">
        <v>416</v>
      </c>
    </row>
    <row r="262" spans="1:6" ht="39" customHeight="1" x14ac:dyDescent="0.25">
      <c r="A262" s="42">
        <f t="shared" si="3"/>
        <v>254</v>
      </c>
      <c r="B262" s="36" t="s">
        <v>255</v>
      </c>
      <c r="C262" s="38" t="s">
        <v>267</v>
      </c>
      <c r="D262" s="38" t="s">
        <v>759</v>
      </c>
      <c r="E262" s="39">
        <v>8097080644</v>
      </c>
      <c r="F262" s="40" t="s">
        <v>416</v>
      </c>
    </row>
    <row r="263" spans="1:6" ht="39" customHeight="1" x14ac:dyDescent="0.25">
      <c r="A263" s="42">
        <f t="shared" si="3"/>
        <v>255</v>
      </c>
      <c r="B263" s="36" t="s">
        <v>255</v>
      </c>
      <c r="C263" s="38" t="s">
        <v>29</v>
      </c>
      <c r="D263" s="38" t="s">
        <v>760</v>
      </c>
      <c r="E263" s="39">
        <v>8098780995</v>
      </c>
      <c r="F263" s="40" t="s">
        <v>416</v>
      </c>
    </row>
    <row r="264" spans="1:6" ht="39" customHeight="1" x14ac:dyDescent="0.25">
      <c r="A264" s="42">
        <f t="shared" si="3"/>
        <v>256</v>
      </c>
      <c r="B264" s="36" t="s">
        <v>255</v>
      </c>
      <c r="C264" s="38" t="s">
        <v>268</v>
      </c>
      <c r="D264" s="38" t="s">
        <v>761</v>
      </c>
      <c r="E264" s="39">
        <v>8098780109</v>
      </c>
      <c r="F264" s="40" t="s">
        <v>416</v>
      </c>
    </row>
    <row r="265" spans="1:6" ht="39" customHeight="1" x14ac:dyDescent="0.25">
      <c r="A265" s="42">
        <f t="shared" si="3"/>
        <v>257</v>
      </c>
      <c r="B265" s="36" t="s">
        <v>255</v>
      </c>
      <c r="C265" s="38" t="s">
        <v>269</v>
      </c>
      <c r="D265" s="38" t="s">
        <v>762</v>
      </c>
      <c r="E265" s="39">
        <v>8299220328</v>
      </c>
      <c r="F265" s="40" t="s">
        <v>416</v>
      </c>
    </row>
    <row r="266" spans="1:6" ht="39" customHeight="1" x14ac:dyDescent="0.25">
      <c r="A266" s="42">
        <f t="shared" si="3"/>
        <v>258</v>
      </c>
      <c r="B266" s="36" t="s">
        <v>255</v>
      </c>
      <c r="C266" s="38" t="s">
        <v>270</v>
      </c>
      <c r="D266" s="38" t="s">
        <v>763</v>
      </c>
      <c r="E266" s="39">
        <v>8099911405</v>
      </c>
      <c r="F266" s="40" t="s">
        <v>416</v>
      </c>
    </row>
    <row r="267" spans="1:6" ht="39" customHeight="1" x14ac:dyDescent="0.25">
      <c r="A267" s="42">
        <f t="shared" si="3"/>
        <v>259</v>
      </c>
      <c r="B267" s="36" t="s">
        <v>272</v>
      </c>
      <c r="C267" s="38" t="s">
        <v>393</v>
      </c>
      <c r="D267" s="38" t="s">
        <v>620</v>
      </c>
      <c r="E267" s="39" t="s">
        <v>621</v>
      </c>
      <c r="F267" s="39" t="s">
        <v>416</v>
      </c>
    </row>
    <row r="268" spans="1:6" ht="39" customHeight="1" x14ac:dyDescent="0.25">
      <c r="A268" s="42">
        <f t="shared" si="3"/>
        <v>260</v>
      </c>
      <c r="B268" s="36" t="s">
        <v>272</v>
      </c>
      <c r="C268" s="38" t="s">
        <v>278</v>
      </c>
      <c r="D268" s="38" t="s">
        <v>622</v>
      </c>
      <c r="E268" s="39">
        <v>8098781035</v>
      </c>
      <c r="F268" s="39" t="s">
        <v>623</v>
      </c>
    </row>
    <row r="269" spans="1:6" ht="39" customHeight="1" x14ac:dyDescent="0.25">
      <c r="A269" s="42">
        <f t="shared" si="3"/>
        <v>261</v>
      </c>
      <c r="B269" s="36" t="s">
        <v>272</v>
      </c>
      <c r="C269" s="38" t="s">
        <v>273</v>
      </c>
      <c r="D269" s="38" t="s">
        <v>764</v>
      </c>
      <c r="E269" s="39">
        <v>8099913110</v>
      </c>
      <c r="F269" s="39" t="s">
        <v>416</v>
      </c>
    </row>
    <row r="270" spans="1:6" ht="39" customHeight="1" x14ac:dyDescent="0.25">
      <c r="A270" s="42">
        <f t="shared" si="3"/>
        <v>262</v>
      </c>
      <c r="B270" s="36" t="s">
        <v>272</v>
      </c>
      <c r="C270" s="38" t="s">
        <v>274</v>
      </c>
      <c r="D270" s="38">
        <v>0</v>
      </c>
      <c r="E270" s="39">
        <v>8097152193</v>
      </c>
      <c r="F270" s="39" t="s">
        <v>416</v>
      </c>
    </row>
    <row r="271" spans="1:6" ht="39" customHeight="1" x14ac:dyDescent="0.25">
      <c r="A271" s="42">
        <f t="shared" si="3"/>
        <v>263</v>
      </c>
      <c r="B271" s="36" t="s">
        <v>272</v>
      </c>
      <c r="C271" s="38" t="s">
        <v>275</v>
      </c>
      <c r="D271" s="38" t="s">
        <v>765</v>
      </c>
      <c r="E271" s="39">
        <v>8293089023</v>
      </c>
      <c r="F271" s="39" t="s">
        <v>416</v>
      </c>
    </row>
    <row r="272" spans="1:6" ht="39" customHeight="1" x14ac:dyDescent="0.25">
      <c r="A272" s="42">
        <f t="shared" si="3"/>
        <v>264</v>
      </c>
      <c r="B272" s="36" t="s">
        <v>272</v>
      </c>
      <c r="C272" s="38" t="s">
        <v>276</v>
      </c>
      <c r="D272" s="38" t="s">
        <v>766</v>
      </c>
      <c r="E272" s="39">
        <v>8097152189</v>
      </c>
      <c r="F272" s="39" t="s">
        <v>508</v>
      </c>
    </row>
    <row r="273" spans="1:6" ht="39" customHeight="1" x14ac:dyDescent="0.25">
      <c r="A273" s="42">
        <f t="shared" si="3"/>
        <v>265</v>
      </c>
      <c r="B273" s="36" t="s">
        <v>272</v>
      </c>
      <c r="C273" s="38" t="s">
        <v>277</v>
      </c>
      <c r="D273" s="38" t="s">
        <v>767</v>
      </c>
      <c r="E273" s="39">
        <v>8293088190</v>
      </c>
      <c r="F273" s="39" t="s">
        <v>416</v>
      </c>
    </row>
    <row r="274" spans="1:6" ht="39" customHeight="1" x14ac:dyDescent="0.25">
      <c r="A274" s="42">
        <f t="shared" si="3"/>
        <v>266</v>
      </c>
      <c r="B274" s="36" t="s">
        <v>272</v>
      </c>
      <c r="C274" s="38" t="s">
        <v>279</v>
      </c>
      <c r="D274" s="38" t="s">
        <v>768</v>
      </c>
      <c r="E274" s="39">
        <v>8098781559</v>
      </c>
      <c r="F274" s="39" t="s">
        <v>416</v>
      </c>
    </row>
    <row r="275" spans="1:6" ht="39" customHeight="1" x14ac:dyDescent="0.25">
      <c r="A275" s="42">
        <f t="shared" si="3"/>
        <v>267</v>
      </c>
      <c r="B275" s="36" t="s">
        <v>272</v>
      </c>
      <c r="C275" s="38" t="s">
        <v>280</v>
      </c>
      <c r="D275" s="38" t="s">
        <v>769</v>
      </c>
      <c r="E275" s="39">
        <v>8099911721</v>
      </c>
      <c r="F275" s="39" t="s">
        <v>508</v>
      </c>
    </row>
    <row r="276" spans="1:6" ht="39" customHeight="1" x14ac:dyDescent="0.25">
      <c r="A276" s="42">
        <f t="shared" si="3"/>
        <v>268</v>
      </c>
      <c r="B276" s="38" t="s">
        <v>281</v>
      </c>
      <c r="C276" s="38" t="s">
        <v>290</v>
      </c>
      <c r="D276" s="38" t="s">
        <v>625</v>
      </c>
      <c r="E276" s="40">
        <v>8098781081</v>
      </c>
      <c r="F276" s="40" t="s">
        <v>418</v>
      </c>
    </row>
    <row r="277" spans="1:6" ht="39" customHeight="1" x14ac:dyDescent="0.25">
      <c r="A277" s="42">
        <f t="shared" si="3"/>
        <v>269</v>
      </c>
      <c r="B277" s="38" t="s">
        <v>281</v>
      </c>
      <c r="C277" s="38" t="s">
        <v>339</v>
      </c>
      <c r="D277" s="38" t="s">
        <v>626</v>
      </c>
      <c r="E277" s="39">
        <v>8099911479</v>
      </c>
      <c r="F277" s="40" t="s">
        <v>624</v>
      </c>
    </row>
    <row r="278" spans="1:6" ht="39" customHeight="1" x14ac:dyDescent="0.25">
      <c r="A278" s="42">
        <f t="shared" si="3"/>
        <v>270</v>
      </c>
      <c r="B278" s="36" t="s">
        <v>281</v>
      </c>
      <c r="C278" s="38" t="s">
        <v>400</v>
      </c>
      <c r="D278" s="38" t="s">
        <v>627</v>
      </c>
      <c r="E278" s="39">
        <v>8299220294</v>
      </c>
      <c r="F278" s="39" t="s">
        <v>508</v>
      </c>
    </row>
    <row r="279" spans="1:6" ht="39" customHeight="1" x14ac:dyDescent="0.25">
      <c r="A279" s="42">
        <f t="shared" si="3"/>
        <v>271</v>
      </c>
      <c r="B279" s="38" t="s">
        <v>281</v>
      </c>
      <c r="C279" s="38" t="s">
        <v>628</v>
      </c>
      <c r="D279" s="38" t="s">
        <v>629</v>
      </c>
      <c r="E279" s="40">
        <v>8099910892</v>
      </c>
      <c r="F279" s="40" t="s">
        <v>508</v>
      </c>
    </row>
    <row r="280" spans="1:6" ht="39" customHeight="1" x14ac:dyDescent="0.25">
      <c r="A280" s="42">
        <f t="shared" si="3"/>
        <v>272</v>
      </c>
      <c r="B280" s="38" t="s">
        <v>281</v>
      </c>
      <c r="C280" s="38" t="s">
        <v>631</v>
      </c>
      <c r="D280" s="38" t="s">
        <v>632</v>
      </c>
      <c r="E280" s="40">
        <v>8099910790</v>
      </c>
      <c r="F280" s="40" t="s">
        <v>624</v>
      </c>
    </row>
    <row r="281" spans="1:6" ht="39" customHeight="1" x14ac:dyDescent="0.25">
      <c r="A281" s="42">
        <f t="shared" si="3"/>
        <v>273</v>
      </c>
      <c r="B281" s="38" t="s">
        <v>281</v>
      </c>
      <c r="C281" s="38" t="s">
        <v>298</v>
      </c>
      <c r="D281" s="38" t="s">
        <v>633</v>
      </c>
      <c r="E281" s="40">
        <v>8497633875</v>
      </c>
      <c r="F281" s="40" t="s">
        <v>418</v>
      </c>
    </row>
    <row r="282" spans="1:6" ht="39" customHeight="1" x14ac:dyDescent="0.25">
      <c r="A282" s="42">
        <f t="shared" si="3"/>
        <v>274</v>
      </c>
      <c r="B282" s="38" t="s">
        <v>281</v>
      </c>
      <c r="C282" s="38" t="s">
        <v>634</v>
      </c>
      <c r="D282" s="38" t="s">
        <v>635</v>
      </c>
      <c r="E282" s="40">
        <v>8099911638</v>
      </c>
      <c r="F282" s="40" t="s">
        <v>624</v>
      </c>
    </row>
    <row r="283" spans="1:6" ht="39" customHeight="1" x14ac:dyDescent="0.25">
      <c r="A283" s="42">
        <f t="shared" si="3"/>
        <v>275</v>
      </c>
      <c r="B283" s="38" t="s">
        <v>281</v>
      </c>
      <c r="C283" s="38" t="s">
        <v>282</v>
      </c>
      <c r="D283" s="38" t="s">
        <v>770</v>
      </c>
      <c r="E283" s="40">
        <v>8098780119</v>
      </c>
      <c r="F283" s="40" t="s">
        <v>624</v>
      </c>
    </row>
    <row r="284" spans="1:6" ht="39" customHeight="1" x14ac:dyDescent="0.25">
      <c r="A284" s="42">
        <f t="shared" si="3"/>
        <v>276</v>
      </c>
      <c r="B284" s="38" t="s">
        <v>281</v>
      </c>
      <c r="C284" s="38" t="s">
        <v>283</v>
      </c>
      <c r="D284" s="38" t="s">
        <v>771</v>
      </c>
      <c r="E284" s="40">
        <v>8098780993</v>
      </c>
      <c r="F284" s="40" t="s">
        <v>623</v>
      </c>
    </row>
    <row r="285" spans="1:6" ht="39" customHeight="1" x14ac:dyDescent="0.25">
      <c r="A285" s="42">
        <f t="shared" si="3"/>
        <v>277</v>
      </c>
      <c r="B285" s="38" t="s">
        <v>281</v>
      </c>
      <c r="C285" s="38" t="s">
        <v>284</v>
      </c>
      <c r="D285" s="38" t="s">
        <v>772</v>
      </c>
      <c r="E285" s="40">
        <v>8097080665</v>
      </c>
      <c r="F285" s="40" t="s">
        <v>624</v>
      </c>
    </row>
    <row r="286" spans="1:6" ht="39" customHeight="1" x14ac:dyDescent="0.25">
      <c r="A286" s="42">
        <f t="shared" si="3"/>
        <v>278</v>
      </c>
      <c r="B286" s="38" t="s">
        <v>281</v>
      </c>
      <c r="C286" s="38" t="s">
        <v>285</v>
      </c>
      <c r="D286" s="38" t="s">
        <v>773</v>
      </c>
      <c r="E286" s="40">
        <v>8099912293</v>
      </c>
      <c r="F286" s="40" t="s">
        <v>624</v>
      </c>
    </row>
    <row r="287" spans="1:6" ht="39" customHeight="1" x14ac:dyDescent="0.25">
      <c r="A287" s="42">
        <f t="shared" si="3"/>
        <v>279</v>
      </c>
      <c r="B287" s="38" t="s">
        <v>281</v>
      </c>
      <c r="C287" s="38" t="s">
        <v>286</v>
      </c>
      <c r="D287" s="38" t="s">
        <v>774</v>
      </c>
      <c r="E287" s="40">
        <v>8299220219</v>
      </c>
      <c r="F287" s="40" t="s">
        <v>624</v>
      </c>
    </row>
    <row r="288" spans="1:6" ht="39" customHeight="1" x14ac:dyDescent="0.25">
      <c r="A288" s="42">
        <f t="shared" si="3"/>
        <v>280</v>
      </c>
      <c r="B288" s="38" t="s">
        <v>281</v>
      </c>
      <c r="C288" s="38" t="s">
        <v>287</v>
      </c>
      <c r="D288" s="38" t="s">
        <v>775</v>
      </c>
      <c r="E288" s="40">
        <v>8099911482</v>
      </c>
      <c r="F288" s="40" t="s">
        <v>624</v>
      </c>
    </row>
    <row r="289" spans="1:6" ht="39" customHeight="1" x14ac:dyDescent="0.25">
      <c r="A289" s="42">
        <f t="shared" si="3"/>
        <v>281</v>
      </c>
      <c r="B289" s="38" t="s">
        <v>281</v>
      </c>
      <c r="C289" s="38" t="s">
        <v>288</v>
      </c>
      <c r="D289" s="38" t="s">
        <v>776</v>
      </c>
      <c r="E289" s="40">
        <v>8293089626</v>
      </c>
      <c r="F289" s="40" t="s">
        <v>777</v>
      </c>
    </row>
    <row r="290" spans="1:6" ht="39" customHeight="1" x14ac:dyDescent="0.25">
      <c r="A290" s="42">
        <f t="shared" si="3"/>
        <v>282</v>
      </c>
      <c r="B290" s="38" t="s">
        <v>281</v>
      </c>
      <c r="C290" s="38" t="s">
        <v>295</v>
      </c>
      <c r="D290" s="38" t="s">
        <v>785</v>
      </c>
      <c r="E290" s="40">
        <v>8097152502</v>
      </c>
      <c r="F290" s="40" t="s">
        <v>624</v>
      </c>
    </row>
    <row r="291" spans="1:6" ht="39" customHeight="1" x14ac:dyDescent="0.25">
      <c r="A291" s="42">
        <f t="shared" si="3"/>
        <v>283</v>
      </c>
      <c r="B291" s="38" t="s">
        <v>281</v>
      </c>
      <c r="C291" s="38" t="s">
        <v>289</v>
      </c>
      <c r="D291" s="38" t="s">
        <v>778</v>
      </c>
      <c r="E291" s="40">
        <v>8098781597</v>
      </c>
      <c r="F291" s="40" t="s">
        <v>624</v>
      </c>
    </row>
    <row r="292" spans="1:6" ht="39" customHeight="1" x14ac:dyDescent="0.25">
      <c r="A292" s="42">
        <f t="shared" si="3"/>
        <v>284</v>
      </c>
      <c r="B292" s="38" t="s">
        <v>281</v>
      </c>
      <c r="C292" s="38" t="s">
        <v>294</v>
      </c>
      <c r="D292" s="38" t="s">
        <v>779</v>
      </c>
      <c r="E292" s="40">
        <v>8099912457</v>
      </c>
      <c r="F292" s="40" t="s">
        <v>624</v>
      </c>
    </row>
    <row r="293" spans="1:6" ht="39" customHeight="1" x14ac:dyDescent="0.25">
      <c r="A293" s="42">
        <f t="shared" si="3"/>
        <v>285</v>
      </c>
      <c r="B293" s="38" t="s">
        <v>281</v>
      </c>
      <c r="C293" s="38" t="s">
        <v>296</v>
      </c>
      <c r="D293" s="38" t="s">
        <v>780</v>
      </c>
      <c r="E293" s="40">
        <v>8299220132</v>
      </c>
      <c r="F293" s="40" t="s">
        <v>624</v>
      </c>
    </row>
    <row r="294" spans="1:6" ht="39" customHeight="1" x14ac:dyDescent="0.25">
      <c r="A294" s="42">
        <f t="shared" si="3"/>
        <v>286</v>
      </c>
      <c r="B294" s="38" t="s">
        <v>281</v>
      </c>
      <c r="C294" s="38" t="s">
        <v>297</v>
      </c>
      <c r="D294" s="38" t="s">
        <v>781</v>
      </c>
      <c r="E294" s="40">
        <v>8098029578</v>
      </c>
      <c r="F294" s="40" t="s">
        <v>624</v>
      </c>
    </row>
    <row r="295" spans="1:6" ht="39" customHeight="1" x14ac:dyDescent="0.25">
      <c r="A295" s="42">
        <f t="shared" si="3"/>
        <v>287</v>
      </c>
      <c r="B295" s="38" t="s">
        <v>636</v>
      </c>
      <c r="C295" s="38" t="s">
        <v>212</v>
      </c>
      <c r="D295" s="38" t="s">
        <v>637</v>
      </c>
      <c r="E295" s="40">
        <v>8098781437</v>
      </c>
      <c r="F295" s="39" t="s">
        <v>444</v>
      </c>
    </row>
    <row r="296" spans="1:6" ht="39" customHeight="1" x14ac:dyDescent="0.25">
      <c r="A296" s="42">
        <f t="shared" si="3"/>
        <v>288</v>
      </c>
      <c r="B296" s="38" t="s">
        <v>636</v>
      </c>
      <c r="C296" s="38" t="s">
        <v>216</v>
      </c>
      <c r="D296" s="38" t="s">
        <v>638</v>
      </c>
      <c r="E296" s="40">
        <v>8299220250</v>
      </c>
      <c r="F296" s="40" t="s">
        <v>624</v>
      </c>
    </row>
    <row r="297" spans="1:6" ht="39" customHeight="1" x14ac:dyDescent="0.25">
      <c r="A297" s="42">
        <f t="shared" si="3"/>
        <v>289</v>
      </c>
      <c r="B297" s="38" t="s">
        <v>636</v>
      </c>
      <c r="C297" s="38" t="s">
        <v>218</v>
      </c>
      <c r="D297" s="38" t="s">
        <v>639</v>
      </c>
      <c r="E297" s="40">
        <v>8293089657</v>
      </c>
      <c r="F297" s="40" t="s">
        <v>624</v>
      </c>
    </row>
    <row r="298" spans="1:6" ht="35.25" customHeight="1" x14ac:dyDescent="0.25">
      <c r="A298" s="42">
        <f t="shared" si="3"/>
        <v>290</v>
      </c>
      <c r="B298" s="38" t="s">
        <v>636</v>
      </c>
      <c r="C298" s="38" t="s">
        <v>219</v>
      </c>
      <c r="D298" s="38" t="s">
        <v>640</v>
      </c>
      <c r="E298" s="40">
        <v>8099910771</v>
      </c>
      <c r="F298" s="40" t="s">
        <v>624</v>
      </c>
    </row>
    <row r="299" spans="1:6" ht="35.25" customHeight="1" x14ac:dyDescent="0.25">
      <c r="A299" s="42">
        <f t="shared" si="3"/>
        <v>291</v>
      </c>
      <c r="B299" s="38" t="s">
        <v>636</v>
      </c>
      <c r="C299" s="38" t="s">
        <v>220</v>
      </c>
      <c r="D299" s="38" t="s">
        <v>641</v>
      </c>
      <c r="E299" s="40">
        <v>8099911641</v>
      </c>
      <c r="F299" s="40" t="s">
        <v>624</v>
      </c>
    </row>
    <row r="300" spans="1:6" ht="35.25" customHeight="1" x14ac:dyDescent="0.25">
      <c r="A300" s="42">
        <f t="shared" si="3"/>
        <v>292</v>
      </c>
      <c r="B300" s="38" t="s">
        <v>636</v>
      </c>
      <c r="C300" s="38" t="s">
        <v>354</v>
      </c>
      <c r="D300" s="38" t="s">
        <v>642</v>
      </c>
      <c r="E300" s="40">
        <v>8099911219</v>
      </c>
      <c r="F300" s="40" t="s">
        <v>418</v>
      </c>
    </row>
    <row r="301" spans="1:6" ht="35.25" customHeight="1" x14ac:dyDescent="0.25">
      <c r="A301" s="42">
        <f>+A300+1</f>
        <v>293</v>
      </c>
      <c r="B301" s="38" t="s">
        <v>636</v>
      </c>
      <c r="C301" s="38" t="s">
        <v>213</v>
      </c>
      <c r="D301" s="38" t="s">
        <v>782</v>
      </c>
      <c r="E301" s="40">
        <v>8099911920</v>
      </c>
      <c r="F301" s="40" t="s">
        <v>624</v>
      </c>
    </row>
    <row r="302" spans="1:6" ht="35.25" customHeight="1" x14ac:dyDescent="0.25">
      <c r="A302" s="42">
        <f>+A301+1</f>
        <v>294</v>
      </c>
      <c r="B302" s="38" t="s">
        <v>636</v>
      </c>
      <c r="C302" s="38" t="s">
        <v>214</v>
      </c>
      <c r="D302" s="38" t="s">
        <v>783</v>
      </c>
      <c r="E302" s="40">
        <v>8099912017</v>
      </c>
      <c r="F302" s="40" t="s">
        <v>444</v>
      </c>
    </row>
    <row r="303" spans="1:6" ht="38.25" customHeight="1" x14ac:dyDescent="0.25">
      <c r="A303" s="42">
        <f>+A302+1</f>
        <v>295</v>
      </c>
      <c r="B303" s="38" t="s">
        <v>636</v>
      </c>
      <c r="C303" s="38" t="s">
        <v>215</v>
      </c>
      <c r="D303" s="38" t="s">
        <v>784</v>
      </c>
      <c r="E303" s="40">
        <v>8099911384</v>
      </c>
      <c r="F303" s="40" t="s">
        <v>443</v>
      </c>
    </row>
  </sheetData>
  <autoFilter ref="B8:F303">
    <sortState ref="B9:F183">
      <sortCondition ref="B8:B183"/>
    </sortState>
  </autoFilter>
  <mergeCells count="1">
    <mergeCell ref="B6:E6"/>
  </mergeCells>
  <conditionalFormatting sqref="C19">
    <cfRule type="duplicateValues" dxfId="9" priority="10" stopIfTrue="1"/>
  </conditionalFormatting>
  <conditionalFormatting sqref="C21">
    <cfRule type="duplicateValues" dxfId="8" priority="9" stopIfTrue="1"/>
  </conditionalFormatting>
  <conditionalFormatting sqref="C45:C46">
    <cfRule type="duplicateValues" dxfId="7" priority="8" stopIfTrue="1"/>
  </conditionalFormatting>
  <conditionalFormatting sqref="C47">
    <cfRule type="duplicateValues" dxfId="6" priority="7" stopIfTrue="1"/>
  </conditionalFormatting>
  <conditionalFormatting sqref="C48">
    <cfRule type="duplicateValues" dxfId="5" priority="6" stopIfTrue="1"/>
  </conditionalFormatting>
  <conditionalFormatting sqref="C180">
    <cfRule type="duplicateValues" dxfId="4" priority="5" stopIfTrue="1"/>
  </conditionalFormatting>
  <conditionalFormatting sqref="C186">
    <cfRule type="duplicateValues" dxfId="3" priority="4" stopIfTrue="1"/>
  </conditionalFormatting>
  <conditionalFormatting sqref="C238">
    <cfRule type="duplicateValues" dxfId="2" priority="3" stopIfTrue="1"/>
  </conditionalFormatting>
  <conditionalFormatting sqref="C239">
    <cfRule type="duplicateValues" dxfId="1" priority="2" stopIfTrue="1"/>
  </conditionalFormatting>
  <conditionalFormatting sqref="C240">
    <cfRule type="duplicateValues" dxfId="0" priority="1" stopIfTrue="1"/>
  </conditionalFormatting>
  <dataValidations disablePrompts="1" count="2">
    <dataValidation type="custom" showInputMessage="1" showErrorMessage="1" sqref="IS65770:IS65772 SO65770:SO65772 ACK65770:ACK65772 AMG65770:AMG65772 AWC65770:AWC65772 BFY65770:BFY65772 BPU65770:BPU65772 BZQ65770:BZQ65772 CJM65770:CJM65772 CTI65770:CTI65772 DDE65770:DDE65772 DNA65770:DNA65772 DWW65770:DWW65772 EGS65770:EGS65772 EQO65770:EQO65772 FAK65770:FAK65772 FKG65770:FKG65772 FUC65770:FUC65772 GDY65770:GDY65772 GNU65770:GNU65772 GXQ65770:GXQ65772 HHM65770:HHM65772 HRI65770:HRI65772 IBE65770:IBE65772 ILA65770:ILA65772 IUW65770:IUW65772 JES65770:JES65772 JOO65770:JOO65772 JYK65770:JYK65772 KIG65770:KIG65772 KSC65770:KSC65772 LBY65770:LBY65772 LLU65770:LLU65772 LVQ65770:LVQ65772 MFM65770:MFM65772 MPI65770:MPI65772 MZE65770:MZE65772 NJA65770:NJA65772 NSW65770:NSW65772 OCS65770:OCS65772 OMO65770:OMO65772 OWK65770:OWK65772 PGG65770:PGG65772 PQC65770:PQC65772 PZY65770:PZY65772 QJU65770:QJU65772 QTQ65770:QTQ65772 RDM65770:RDM65772 RNI65770:RNI65772 RXE65770:RXE65772 SHA65770:SHA65772 SQW65770:SQW65772 TAS65770:TAS65772 TKO65770:TKO65772 TUK65770:TUK65772 UEG65770:UEG65772 UOC65770:UOC65772 UXY65770:UXY65772 VHU65770:VHU65772 VRQ65770:VRQ65772 WBM65770:WBM65772 WLI65770:WLI65772 WVE65770:WVE65772 IS131306:IS131308 SO131306:SO131308 ACK131306:ACK131308 AMG131306:AMG131308 AWC131306:AWC131308 BFY131306:BFY131308 BPU131306:BPU131308 BZQ131306:BZQ131308 CJM131306:CJM131308 CTI131306:CTI131308 DDE131306:DDE131308 DNA131306:DNA131308 DWW131306:DWW131308 EGS131306:EGS131308 EQO131306:EQO131308 FAK131306:FAK131308 FKG131306:FKG131308 FUC131306:FUC131308 GDY131306:GDY131308 GNU131306:GNU131308 GXQ131306:GXQ131308 HHM131306:HHM131308 HRI131306:HRI131308 IBE131306:IBE131308 ILA131306:ILA131308 IUW131306:IUW131308 JES131306:JES131308 JOO131306:JOO131308 JYK131306:JYK131308 KIG131306:KIG131308 KSC131306:KSC131308 LBY131306:LBY131308 LLU131306:LLU131308 LVQ131306:LVQ131308 MFM131306:MFM131308 MPI131306:MPI131308 MZE131306:MZE131308 NJA131306:NJA131308 NSW131306:NSW131308 OCS131306:OCS131308 OMO131306:OMO131308 OWK131306:OWK131308 PGG131306:PGG131308 PQC131306:PQC131308 PZY131306:PZY131308 QJU131306:QJU131308 QTQ131306:QTQ131308 RDM131306:RDM131308 RNI131306:RNI131308 RXE131306:RXE131308 SHA131306:SHA131308 SQW131306:SQW131308 TAS131306:TAS131308 TKO131306:TKO131308 TUK131306:TUK131308 UEG131306:UEG131308 UOC131306:UOC131308 UXY131306:UXY131308 VHU131306:VHU131308 VRQ131306:VRQ131308 WBM131306:WBM131308 WLI131306:WLI131308 WVE131306:WVE131308 IS196842:IS196844 SO196842:SO196844 ACK196842:ACK196844 AMG196842:AMG196844 AWC196842:AWC196844 BFY196842:BFY196844 BPU196842:BPU196844 BZQ196842:BZQ196844 CJM196842:CJM196844 CTI196842:CTI196844 DDE196842:DDE196844 DNA196842:DNA196844 DWW196842:DWW196844 EGS196842:EGS196844 EQO196842:EQO196844 FAK196842:FAK196844 FKG196842:FKG196844 FUC196842:FUC196844 GDY196842:GDY196844 GNU196842:GNU196844 GXQ196842:GXQ196844 HHM196842:HHM196844 HRI196842:HRI196844 IBE196842:IBE196844 ILA196842:ILA196844 IUW196842:IUW196844 JES196842:JES196844 JOO196842:JOO196844 JYK196842:JYK196844 KIG196842:KIG196844 KSC196842:KSC196844 LBY196842:LBY196844 LLU196842:LLU196844 LVQ196842:LVQ196844 MFM196842:MFM196844 MPI196842:MPI196844 MZE196842:MZE196844 NJA196842:NJA196844 NSW196842:NSW196844 OCS196842:OCS196844 OMO196842:OMO196844 OWK196842:OWK196844 PGG196842:PGG196844 PQC196842:PQC196844 PZY196842:PZY196844 QJU196842:QJU196844 QTQ196842:QTQ196844 RDM196842:RDM196844 RNI196842:RNI196844 RXE196842:RXE196844 SHA196842:SHA196844 SQW196842:SQW196844 TAS196842:TAS196844 TKO196842:TKO196844 TUK196842:TUK196844 UEG196842:UEG196844 UOC196842:UOC196844 UXY196842:UXY196844 VHU196842:VHU196844 VRQ196842:VRQ196844 WBM196842:WBM196844 WLI196842:WLI196844 WVE196842:WVE196844 IS262378:IS262380 SO262378:SO262380 ACK262378:ACK262380 AMG262378:AMG262380 AWC262378:AWC262380 BFY262378:BFY262380 BPU262378:BPU262380 BZQ262378:BZQ262380 CJM262378:CJM262380 CTI262378:CTI262380 DDE262378:DDE262380 DNA262378:DNA262380 DWW262378:DWW262380 EGS262378:EGS262380 EQO262378:EQO262380 FAK262378:FAK262380 FKG262378:FKG262380 FUC262378:FUC262380 GDY262378:GDY262380 GNU262378:GNU262380 GXQ262378:GXQ262380 HHM262378:HHM262380 HRI262378:HRI262380 IBE262378:IBE262380 ILA262378:ILA262380 IUW262378:IUW262380 JES262378:JES262380 JOO262378:JOO262380 JYK262378:JYK262380 KIG262378:KIG262380 KSC262378:KSC262380 LBY262378:LBY262380 LLU262378:LLU262380 LVQ262378:LVQ262380 MFM262378:MFM262380 MPI262378:MPI262380 MZE262378:MZE262380 NJA262378:NJA262380 NSW262378:NSW262380 OCS262378:OCS262380 OMO262378:OMO262380 OWK262378:OWK262380 PGG262378:PGG262380 PQC262378:PQC262380 PZY262378:PZY262380 QJU262378:QJU262380 QTQ262378:QTQ262380 RDM262378:RDM262380 RNI262378:RNI262380 RXE262378:RXE262380 SHA262378:SHA262380 SQW262378:SQW262380 TAS262378:TAS262380 TKO262378:TKO262380 TUK262378:TUK262380 UEG262378:UEG262380 UOC262378:UOC262380 UXY262378:UXY262380 VHU262378:VHU262380 VRQ262378:VRQ262380 WBM262378:WBM262380 WLI262378:WLI262380 WVE262378:WVE262380 IS327914:IS327916 SO327914:SO327916 ACK327914:ACK327916 AMG327914:AMG327916 AWC327914:AWC327916 BFY327914:BFY327916 BPU327914:BPU327916 BZQ327914:BZQ327916 CJM327914:CJM327916 CTI327914:CTI327916 DDE327914:DDE327916 DNA327914:DNA327916 DWW327914:DWW327916 EGS327914:EGS327916 EQO327914:EQO327916 FAK327914:FAK327916 FKG327914:FKG327916 FUC327914:FUC327916 GDY327914:GDY327916 GNU327914:GNU327916 GXQ327914:GXQ327916 HHM327914:HHM327916 HRI327914:HRI327916 IBE327914:IBE327916 ILA327914:ILA327916 IUW327914:IUW327916 JES327914:JES327916 JOO327914:JOO327916 JYK327914:JYK327916 KIG327914:KIG327916 KSC327914:KSC327916 LBY327914:LBY327916 LLU327914:LLU327916 LVQ327914:LVQ327916 MFM327914:MFM327916 MPI327914:MPI327916 MZE327914:MZE327916 NJA327914:NJA327916 NSW327914:NSW327916 OCS327914:OCS327916 OMO327914:OMO327916 OWK327914:OWK327916 PGG327914:PGG327916 PQC327914:PQC327916 PZY327914:PZY327916 QJU327914:QJU327916 QTQ327914:QTQ327916 RDM327914:RDM327916 RNI327914:RNI327916 RXE327914:RXE327916 SHA327914:SHA327916 SQW327914:SQW327916 TAS327914:TAS327916 TKO327914:TKO327916 TUK327914:TUK327916 UEG327914:UEG327916 UOC327914:UOC327916 UXY327914:UXY327916 VHU327914:VHU327916 VRQ327914:VRQ327916 WBM327914:WBM327916 WLI327914:WLI327916 WVE327914:WVE327916 IS393450:IS393452 SO393450:SO393452 ACK393450:ACK393452 AMG393450:AMG393452 AWC393450:AWC393452 BFY393450:BFY393452 BPU393450:BPU393452 BZQ393450:BZQ393452 CJM393450:CJM393452 CTI393450:CTI393452 DDE393450:DDE393452 DNA393450:DNA393452 DWW393450:DWW393452 EGS393450:EGS393452 EQO393450:EQO393452 FAK393450:FAK393452 FKG393450:FKG393452 FUC393450:FUC393452 GDY393450:GDY393452 GNU393450:GNU393452 GXQ393450:GXQ393452 HHM393450:HHM393452 HRI393450:HRI393452 IBE393450:IBE393452 ILA393450:ILA393452 IUW393450:IUW393452 JES393450:JES393452 JOO393450:JOO393452 JYK393450:JYK393452 KIG393450:KIG393452 KSC393450:KSC393452 LBY393450:LBY393452 LLU393450:LLU393452 LVQ393450:LVQ393452 MFM393450:MFM393452 MPI393450:MPI393452 MZE393450:MZE393452 NJA393450:NJA393452 NSW393450:NSW393452 OCS393450:OCS393452 OMO393450:OMO393452 OWK393450:OWK393452 PGG393450:PGG393452 PQC393450:PQC393452 PZY393450:PZY393452 QJU393450:QJU393452 QTQ393450:QTQ393452 RDM393450:RDM393452 RNI393450:RNI393452 RXE393450:RXE393452 SHA393450:SHA393452 SQW393450:SQW393452 TAS393450:TAS393452 TKO393450:TKO393452 TUK393450:TUK393452 UEG393450:UEG393452 UOC393450:UOC393452 UXY393450:UXY393452 VHU393450:VHU393452 VRQ393450:VRQ393452 WBM393450:WBM393452 WLI393450:WLI393452 WVE393450:WVE393452 IS458986:IS458988 SO458986:SO458988 ACK458986:ACK458988 AMG458986:AMG458988 AWC458986:AWC458988 BFY458986:BFY458988 BPU458986:BPU458988 BZQ458986:BZQ458988 CJM458986:CJM458988 CTI458986:CTI458988 DDE458986:DDE458988 DNA458986:DNA458988 DWW458986:DWW458988 EGS458986:EGS458988 EQO458986:EQO458988 FAK458986:FAK458988 FKG458986:FKG458988 FUC458986:FUC458988 GDY458986:GDY458988 GNU458986:GNU458988 GXQ458986:GXQ458988 HHM458986:HHM458988 HRI458986:HRI458988 IBE458986:IBE458988 ILA458986:ILA458988 IUW458986:IUW458988 JES458986:JES458988 JOO458986:JOO458988 JYK458986:JYK458988 KIG458986:KIG458988 KSC458986:KSC458988 LBY458986:LBY458988 LLU458986:LLU458988 LVQ458986:LVQ458988 MFM458986:MFM458988 MPI458986:MPI458988 MZE458986:MZE458988 NJA458986:NJA458988 NSW458986:NSW458988 OCS458986:OCS458988 OMO458986:OMO458988 OWK458986:OWK458988 PGG458986:PGG458988 PQC458986:PQC458988 PZY458986:PZY458988 QJU458986:QJU458988 QTQ458986:QTQ458988 RDM458986:RDM458988 RNI458986:RNI458988 RXE458986:RXE458988 SHA458986:SHA458988 SQW458986:SQW458988 TAS458986:TAS458988 TKO458986:TKO458988 TUK458986:TUK458988 UEG458986:UEG458988 UOC458986:UOC458988 UXY458986:UXY458988 VHU458986:VHU458988 VRQ458986:VRQ458988 WBM458986:WBM458988 WLI458986:WLI458988 WVE458986:WVE458988 IS524522:IS524524 SO524522:SO524524 ACK524522:ACK524524 AMG524522:AMG524524 AWC524522:AWC524524 BFY524522:BFY524524 BPU524522:BPU524524 BZQ524522:BZQ524524 CJM524522:CJM524524 CTI524522:CTI524524 DDE524522:DDE524524 DNA524522:DNA524524 DWW524522:DWW524524 EGS524522:EGS524524 EQO524522:EQO524524 FAK524522:FAK524524 FKG524522:FKG524524 FUC524522:FUC524524 GDY524522:GDY524524 GNU524522:GNU524524 GXQ524522:GXQ524524 HHM524522:HHM524524 HRI524522:HRI524524 IBE524522:IBE524524 ILA524522:ILA524524 IUW524522:IUW524524 JES524522:JES524524 JOO524522:JOO524524 JYK524522:JYK524524 KIG524522:KIG524524 KSC524522:KSC524524 LBY524522:LBY524524 LLU524522:LLU524524 LVQ524522:LVQ524524 MFM524522:MFM524524 MPI524522:MPI524524 MZE524522:MZE524524 NJA524522:NJA524524 NSW524522:NSW524524 OCS524522:OCS524524 OMO524522:OMO524524 OWK524522:OWK524524 PGG524522:PGG524524 PQC524522:PQC524524 PZY524522:PZY524524 QJU524522:QJU524524 QTQ524522:QTQ524524 RDM524522:RDM524524 RNI524522:RNI524524 RXE524522:RXE524524 SHA524522:SHA524524 SQW524522:SQW524524 TAS524522:TAS524524 TKO524522:TKO524524 TUK524522:TUK524524 UEG524522:UEG524524 UOC524522:UOC524524 UXY524522:UXY524524 VHU524522:VHU524524 VRQ524522:VRQ524524 WBM524522:WBM524524 WLI524522:WLI524524 WVE524522:WVE524524 IS590058:IS590060 SO590058:SO590060 ACK590058:ACK590060 AMG590058:AMG590060 AWC590058:AWC590060 BFY590058:BFY590060 BPU590058:BPU590060 BZQ590058:BZQ590060 CJM590058:CJM590060 CTI590058:CTI590060 DDE590058:DDE590060 DNA590058:DNA590060 DWW590058:DWW590060 EGS590058:EGS590060 EQO590058:EQO590060 FAK590058:FAK590060 FKG590058:FKG590060 FUC590058:FUC590060 GDY590058:GDY590060 GNU590058:GNU590060 GXQ590058:GXQ590060 HHM590058:HHM590060 HRI590058:HRI590060 IBE590058:IBE590060 ILA590058:ILA590060 IUW590058:IUW590060 JES590058:JES590060 JOO590058:JOO590060 JYK590058:JYK590060 KIG590058:KIG590060 KSC590058:KSC590060 LBY590058:LBY590060 LLU590058:LLU590060 LVQ590058:LVQ590060 MFM590058:MFM590060 MPI590058:MPI590060 MZE590058:MZE590060 NJA590058:NJA590060 NSW590058:NSW590060 OCS590058:OCS590060 OMO590058:OMO590060 OWK590058:OWK590060 PGG590058:PGG590060 PQC590058:PQC590060 PZY590058:PZY590060 QJU590058:QJU590060 QTQ590058:QTQ590060 RDM590058:RDM590060 RNI590058:RNI590060 RXE590058:RXE590060 SHA590058:SHA590060 SQW590058:SQW590060 TAS590058:TAS590060 TKO590058:TKO590060 TUK590058:TUK590060 UEG590058:UEG590060 UOC590058:UOC590060 UXY590058:UXY590060 VHU590058:VHU590060 VRQ590058:VRQ590060 WBM590058:WBM590060 WLI590058:WLI590060 WVE590058:WVE590060 IS655594:IS655596 SO655594:SO655596 ACK655594:ACK655596 AMG655594:AMG655596 AWC655594:AWC655596 BFY655594:BFY655596 BPU655594:BPU655596 BZQ655594:BZQ655596 CJM655594:CJM655596 CTI655594:CTI655596 DDE655594:DDE655596 DNA655594:DNA655596 DWW655594:DWW655596 EGS655594:EGS655596 EQO655594:EQO655596 FAK655594:FAK655596 FKG655594:FKG655596 FUC655594:FUC655596 GDY655594:GDY655596 GNU655594:GNU655596 GXQ655594:GXQ655596 HHM655594:HHM655596 HRI655594:HRI655596 IBE655594:IBE655596 ILA655594:ILA655596 IUW655594:IUW655596 JES655594:JES655596 JOO655594:JOO655596 JYK655594:JYK655596 KIG655594:KIG655596 KSC655594:KSC655596 LBY655594:LBY655596 LLU655594:LLU655596 LVQ655594:LVQ655596 MFM655594:MFM655596 MPI655594:MPI655596 MZE655594:MZE655596 NJA655594:NJA655596 NSW655594:NSW655596 OCS655594:OCS655596 OMO655594:OMO655596 OWK655594:OWK655596 PGG655594:PGG655596 PQC655594:PQC655596 PZY655594:PZY655596 QJU655594:QJU655596 QTQ655594:QTQ655596 RDM655594:RDM655596 RNI655594:RNI655596 RXE655594:RXE655596 SHA655594:SHA655596 SQW655594:SQW655596 TAS655594:TAS655596 TKO655594:TKO655596 TUK655594:TUK655596 UEG655594:UEG655596 UOC655594:UOC655596 UXY655594:UXY655596 VHU655594:VHU655596 VRQ655594:VRQ655596 WBM655594:WBM655596 WLI655594:WLI655596 WVE655594:WVE655596 IS721130:IS721132 SO721130:SO721132 ACK721130:ACK721132 AMG721130:AMG721132 AWC721130:AWC721132 BFY721130:BFY721132 BPU721130:BPU721132 BZQ721130:BZQ721132 CJM721130:CJM721132 CTI721130:CTI721132 DDE721130:DDE721132 DNA721130:DNA721132 DWW721130:DWW721132 EGS721130:EGS721132 EQO721130:EQO721132 FAK721130:FAK721132 FKG721130:FKG721132 FUC721130:FUC721132 GDY721130:GDY721132 GNU721130:GNU721132 GXQ721130:GXQ721132 HHM721130:HHM721132 HRI721130:HRI721132 IBE721130:IBE721132 ILA721130:ILA721132 IUW721130:IUW721132 JES721130:JES721132 JOO721130:JOO721132 JYK721130:JYK721132 KIG721130:KIG721132 KSC721130:KSC721132 LBY721130:LBY721132 LLU721130:LLU721132 LVQ721130:LVQ721132 MFM721130:MFM721132 MPI721130:MPI721132 MZE721130:MZE721132 NJA721130:NJA721132 NSW721130:NSW721132 OCS721130:OCS721132 OMO721130:OMO721132 OWK721130:OWK721132 PGG721130:PGG721132 PQC721130:PQC721132 PZY721130:PZY721132 QJU721130:QJU721132 QTQ721130:QTQ721132 RDM721130:RDM721132 RNI721130:RNI721132 RXE721130:RXE721132 SHA721130:SHA721132 SQW721130:SQW721132 TAS721130:TAS721132 TKO721130:TKO721132 TUK721130:TUK721132 UEG721130:UEG721132 UOC721130:UOC721132 UXY721130:UXY721132 VHU721130:VHU721132 VRQ721130:VRQ721132 WBM721130:WBM721132 WLI721130:WLI721132 WVE721130:WVE721132 IS786666:IS786668 SO786666:SO786668 ACK786666:ACK786668 AMG786666:AMG786668 AWC786666:AWC786668 BFY786666:BFY786668 BPU786666:BPU786668 BZQ786666:BZQ786668 CJM786666:CJM786668 CTI786666:CTI786668 DDE786666:DDE786668 DNA786666:DNA786668 DWW786666:DWW786668 EGS786666:EGS786668 EQO786666:EQO786668 FAK786666:FAK786668 FKG786666:FKG786668 FUC786666:FUC786668 GDY786666:GDY786668 GNU786666:GNU786668 GXQ786666:GXQ786668 HHM786666:HHM786668 HRI786666:HRI786668 IBE786666:IBE786668 ILA786666:ILA786668 IUW786666:IUW786668 JES786666:JES786668 JOO786666:JOO786668 JYK786666:JYK786668 KIG786666:KIG786668 KSC786666:KSC786668 LBY786666:LBY786668 LLU786666:LLU786668 LVQ786666:LVQ786668 MFM786666:MFM786668 MPI786666:MPI786668 MZE786666:MZE786668 NJA786666:NJA786668 NSW786666:NSW786668 OCS786666:OCS786668 OMO786666:OMO786668 OWK786666:OWK786668 PGG786666:PGG786668 PQC786666:PQC786668 PZY786666:PZY786668 QJU786666:QJU786668 QTQ786666:QTQ786668 RDM786666:RDM786668 RNI786666:RNI786668 RXE786666:RXE786668 SHA786666:SHA786668 SQW786666:SQW786668 TAS786666:TAS786668 TKO786666:TKO786668 TUK786666:TUK786668 UEG786666:UEG786668 UOC786666:UOC786668 UXY786666:UXY786668 VHU786666:VHU786668 VRQ786666:VRQ786668 WBM786666:WBM786668 WLI786666:WLI786668 WVE786666:WVE786668 IS852202:IS852204 SO852202:SO852204 ACK852202:ACK852204 AMG852202:AMG852204 AWC852202:AWC852204 BFY852202:BFY852204 BPU852202:BPU852204 BZQ852202:BZQ852204 CJM852202:CJM852204 CTI852202:CTI852204 DDE852202:DDE852204 DNA852202:DNA852204 DWW852202:DWW852204 EGS852202:EGS852204 EQO852202:EQO852204 FAK852202:FAK852204 FKG852202:FKG852204 FUC852202:FUC852204 GDY852202:GDY852204 GNU852202:GNU852204 GXQ852202:GXQ852204 HHM852202:HHM852204 HRI852202:HRI852204 IBE852202:IBE852204 ILA852202:ILA852204 IUW852202:IUW852204 JES852202:JES852204 JOO852202:JOO852204 JYK852202:JYK852204 KIG852202:KIG852204 KSC852202:KSC852204 LBY852202:LBY852204 LLU852202:LLU852204 LVQ852202:LVQ852204 MFM852202:MFM852204 MPI852202:MPI852204 MZE852202:MZE852204 NJA852202:NJA852204 NSW852202:NSW852204 OCS852202:OCS852204 OMO852202:OMO852204 OWK852202:OWK852204 PGG852202:PGG852204 PQC852202:PQC852204 PZY852202:PZY852204 QJU852202:QJU852204 QTQ852202:QTQ852204 RDM852202:RDM852204 RNI852202:RNI852204 RXE852202:RXE852204 SHA852202:SHA852204 SQW852202:SQW852204 TAS852202:TAS852204 TKO852202:TKO852204 TUK852202:TUK852204 UEG852202:UEG852204 UOC852202:UOC852204 UXY852202:UXY852204 VHU852202:VHU852204 VRQ852202:VRQ852204 WBM852202:WBM852204 WLI852202:WLI852204 WVE852202:WVE852204 IS917738:IS917740 SO917738:SO917740 ACK917738:ACK917740 AMG917738:AMG917740 AWC917738:AWC917740 BFY917738:BFY917740 BPU917738:BPU917740 BZQ917738:BZQ917740 CJM917738:CJM917740 CTI917738:CTI917740 DDE917738:DDE917740 DNA917738:DNA917740 DWW917738:DWW917740 EGS917738:EGS917740 EQO917738:EQO917740 FAK917738:FAK917740 FKG917738:FKG917740 FUC917738:FUC917740 GDY917738:GDY917740 GNU917738:GNU917740 GXQ917738:GXQ917740 HHM917738:HHM917740 HRI917738:HRI917740 IBE917738:IBE917740 ILA917738:ILA917740 IUW917738:IUW917740 JES917738:JES917740 JOO917738:JOO917740 JYK917738:JYK917740 KIG917738:KIG917740 KSC917738:KSC917740 LBY917738:LBY917740 LLU917738:LLU917740 LVQ917738:LVQ917740 MFM917738:MFM917740 MPI917738:MPI917740 MZE917738:MZE917740 NJA917738:NJA917740 NSW917738:NSW917740 OCS917738:OCS917740 OMO917738:OMO917740 OWK917738:OWK917740 PGG917738:PGG917740 PQC917738:PQC917740 PZY917738:PZY917740 QJU917738:QJU917740 QTQ917738:QTQ917740 RDM917738:RDM917740 RNI917738:RNI917740 RXE917738:RXE917740 SHA917738:SHA917740 SQW917738:SQW917740 TAS917738:TAS917740 TKO917738:TKO917740 TUK917738:TUK917740 UEG917738:UEG917740 UOC917738:UOC917740 UXY917738:UXY917740 VHU917738:VHU917740 VRQ917738:VRQ917740 WBM917738:WBM917740 WLI917738:WLI917740 WVE917738:WVE917740 IS983274:IS983276 SO983274:SO983276 ACK983274:ACK983276 AMG983274:AMG983276 AWC983274:AWC983276 BFY983274:BFY983276 BPU983274:BPU983276 BZQ983274:BZQ983276 CJM983274:CJM983276 CTI983274:CTI983276 DDE983274:DDE983276 DNA983274:DNA983276 DWW983274:DWW983276 EGS983274:EGS983276 EQO983274:EQO983276 FAK983274:FAK983276 FKG983274:FKG983276 FUC983274:FUC983276 GDY983274:GDY983276 GNU983274:GNU983276 GXQ983274:GXQ983276 HHM983274:HHM983276 HRI983274:HRI983276 IBE983274:IBE983276 ILA983274:ILA983276 IUW983274:IUW983276 JES983274:JES983276 JOO983274:JOO983276 JYK983274:JYK983276 KIG983274:KIG983276 KSC983274:KSC983276 LBY983274:LBY983276 LLU983274:LLU983276 LVQ983274:LVQ983276 MFM983274:MFM983276 MPI983274:MPI983276 MZE983274:MZE983276 NJA983274:NJA983276 NSW983274:NSW983276 OCS983274:OCS983276 OMO983274:OMO983276 OWK983274:OWK983276 PGG983274:PGG983276 PQC983274:PQC983276 PZY983274:PZY983276 QJU983274:QJU983276 QTQ983274:QTQ983276 RDM983274:RDM983276 RNI983274:RNI983276 RXE983274:RXE983276 SHA983274:SHA983276 SQW983274:SQW983276 TAS983274:TAS983276 TKO983274:TKO983276 TUK983274:TUK983276 UEG983274:UEG983276 UOC983274:UOC983276 UXY983274:UXY983276 VHU983274:VHU983276 VRQ983274:VRQ983276 WBM983274:WBM983276 WLI983274:WLI983276 WVE983274:WVE983276">
      <formula1>"_:_"</formula1>
    </dataValidation>
    <dataValidation showInputMessage="1" showErrorMessage="1" sqref="IS65396:IS65469 SO65396:SO65469 ACK65396:ACK65469 AMG65396:AMG65469 AWC65396:AWC65469 BFY65396:BFY65469 BPU65396:BPU65469 BZQ65396:BZQ65469 CJM65396:CJM65469 CTI65396:CTI65469 DDE65396:DDE65469 DNA65396:DNA65469 DWW65396:DWW65469 EGS65396:EGS65469 EQO65396:EQO65469 FAK65396:FAK65469 FKG65396:FKG65469 FUC65396:FUC65469 GDY65396:GDY65469 GNU65396:GNU65469 GXQ65396:GXQ65469 HHM65396:HHM65469 HRI65396:HRI65469 IBE65396:IBE65469 ILA65396:ILA65469 IUW65396:IUW65469 JES65396:JES65469 JOO65396:JOO65469 JYK65396:JYK65469 KIG65396:KIG65469 KSC65396:KSC65469 LBY65396:LBY65469 LLU65396:LLU65469 LVQ65396:LVQ65469 MFM65396:MFM65469 MPI65396:MPI65469 MZE65396:MZE65469 NJA65396:NJA65469 NSW65396:NSW65469 OCS65396:OCS65469 OMO65396:OMO65469 OWK65396:OWK65469 PGG65396:PGG65469 PQC65396:PQC65469 PZY65396:PZY65469 QJU65396:QJU65469 QTQ65396:QTQ65469 RDM65396:RDM65469 RNI65396:RNI65469 RXE65396:RXE65469 SHA65396:SHA65469 SQW65396:SQW65469 TAS65396:TAS65469 TKO65396:TKO65469 TUK65396:TUK65469 UEG65396:UEG65469 UOC65396:UOC65469 UXY65396:UXY65469 VHU65396:VHU65469 VRQ65396:VRQ65469 WBM65396:WBM65469 WLI65396:WLI65469 WVE65396:WVE65469 IS130932:IS131005 SO130932:SO131005 ACK130932:ACK131005 AMG130932:AMG131005 AWC130932:AWC131005 BFY130932:BFY131005 BPU130932:BPU131005 BZQ130932:BZQ131005 CJM130932:CJM131005 CTI130932:CTI131005 DDE130932:DDE131005 DNA130932:DNA131005 DWW130932:DWW131005 EGS130932:EGS131005 EQO130932:EQO131005 FAK130932:FAK131005 FKG130932:FKG131005 FUC130932:FUC131005 GDY130932:GDY131005 GNU130932:GNU131005 GXQ130932:GXQ131005 HHM130932:HHM131005 HRI130932:HRI131005 IBE130932:IBE131005 ILA130932:ILA131005 IUW130932:IUW131005 JES130932:JES131005 JOO130932:JOO131005 JYK130932:JYK131005 KIG130932:KIG131005 KSC130932:KSC131005 LBY130932:LBY131005 LLU130932:LLU131005 LVQ130932:LVQ131005 MFM130932:MFM131005 MPI130932:MPI131005 MZE130932:MZE131005 NJA130932:NJA131005 NSW130932:NSW131005 OCS130932:OCS131005 OMO130932:OMO131005 OWK130932:OWK131005 PGG130932:PGG131005 PQC130932:PQC131005 PZY130932:PZY131005 QJU130932:QJU131005 QTQ130932:QTQ131005 RDM130932:RDM131005 RNI130932:RNI131005 RXE130932:RXE131005 SHA130932:SHA131005 SQW130932:SQW131005 TAS130932:TAS131005 TKO130932:TKO131005 TUK130932:TUK131005 UEG130932:UEG131005 UOC130932:UOC131005 UXY130932:UXY131005 VHU130932:VHU131005 VRQ130932:VRQ131005 WBM130932:WBM131005 WLI130932:WLI131005 WVE130932:WVE131005 IS196468:IS196541 SO196468:SO196541 ACK196468:ACK196541 AMG196468:AMG196541 AWC196468:AWC196541 BFY196468:BFY196541 BPU196468:BPU196541 BZQ196468:BZQ196541 CJM196468:CJM196541 CTI196468:CTI196541 DDE196468:DDE196541 DNA196468:DNA196541 DWW196468:DWW196541 EGS196468:EGS196541 EQO196468:EQO196541 FAK196468:FAK196541 FKG196468:FKG196541 FUC196468:FUC196541 GDY196468:GDY196541 GNU196468:GNU196541 GXQ196468:GXQ196541 HHM196468:HHM196541 HRI196468:HRI196541 IBE196468:IBE196541 ILA196468:ILA196541 IUW196468:IUW196541 JES196468:JES196541 JOO196468:JOO196541 JYK196468:JYK196541 KIG196468:KIG196541 KSC196468:KSC196541 LBY196468:LBY196541 LLU196468:LLU196541 LVQ196468:LVQ196541 MFM196468:MFM196541 MPI196468:MPI196541 MZE196468:MZE196541 NJA196468:NJA196541 NSW196468:NSW196541 OCS196468:OCS196541 OMO196468:OMO196541 OWK196468:OWK196541 PGG196468:PGG196541 PQC196468:PQC196541 PZY196468:PZY196541 QJU196468:QJU196541 QTQ196468:QTQ196541 RDM196468:RDM196541 RNI196468:RNI196541 RXE196468:RXE196541 SHA196468:SHA196541 SQW196468:SQW196541 TAS196468:TAS196541 TKO196468:TKO196541 TUK196468:TUK196541 UEG196468:UEG196541 UOC196468:UOC196541 UXY196468:UXY196541 VHU196468:VHU196541 VRQ196468:VRQ196541 WBM196468:WBM196541 WLI196468:WLI196541 WVE196468:WVE196541 IS262004:IS262077 SO262004:SO262077 ACK262004:ACK262077 AMG262004:AMG262077 AWC262004:AWC262077 BFY262004:BFY262077 BPU262004:BPU262077 BZQ262004:BZQ262077 CJM262004:CJM262077 CTI262004:CTI262077 DDE262004:DDE262077 DNA262004:DNA262077 DWW262004:DWW262077 EGS262004:EGS262077 EQO262004:EQO262077 FAK262004:FAK262077 FKG262004:FKG262077 FUC262004:FUC262077 GDY262004:GDY262077 GNU262004:GNU262077 GXQ262004:GXQ262077 HHM262004:HHM262077 HRI262004:HRI262077 IBE262004:IBE262077 ILA262004:ILA262077 IUW262004:IUW262077 JES262004:JES262077 JOO262004:JOO262077 JYK262004:JYK262077 KIG262004:KIG262077 KSC262004:KSC262077 LBY262004:LBY262077 LLU262004:LLU262077 LVQ262004:LVQ262077 MFM262004:MFM262077 MPI262004:MPI262077 MZE262004:MZE262077 NJA262004:NJA262077 NSW262004:NSW262077 OCS262004:OCS262077 OMO262004:OMO262077 OWK262004:OWK262077 PGG262004:PGG262077 PQC262004:PQC262077 PZY262004:PZY262077 QJU262004:QJU262077 QTQ262004:QTQ262077 RDM262004:RDM262077 RNI262004:RNI262077 RXE262004:RXE262077 SHA262004:SHA262077 SQW262004:SQW262077 TAS262004:TAS262077 TKO262004:TKO262077 TUK262004:TUK262077 UEG262004:UEG262077 UOC262004:UOC262077 UXY262004:UXY262077 VHU262004:VHU262077 VRQ262004:VRQ262077 WBM262004:WBM262077 WLI262004:WLI262077 WVE262004:WVE262077 IS327540:IS327613 SO327540:SO327613 ACK327540:ACK327613 AMG327540:AMG327613 AWC327540:AWC327613 BFY327540:BFY327613 BPU327540:BPU327613 BZQ327540:BZQ327613 CJM327540:CJM327613 CTI327540:CTI327613 DDE327540:DDE327613 DNA327540:DNA327613 DWW327540:DWW327613 EGS327540:EGS327613 EQO327540:EQO327613 FAK327540:FAK327613 FKG327540:FKG327613 FUC327540:FUC327613 GDY327540:GDY327613 GNU327540:GNU327613 GXQ327540:GXQ327613 HHM327540:HHM327613 HRI327540:HRI327613 IBE327540:IBE327613 ILA327540:ILA327613 IUW327540:IUW327613 JES327540:JES327613 JOO327540:JOO327613 JYK327540:JYK327613 KIG327540:KIG327613 KSC327540:KSC327613 LBY327540:LBY327613 LLU327540:LLU327613 LVQ327540:LVQ327613 MFM327540:MFM327613 MPI327540:MPI327613 MZE327540:MZE327613 NJA327540:NJA327613 NSW327540:NSW327613 OCS327540:OCS327613 OMO327540:OMO327613 OWK327540:OWK327613 PGG327540:PGG327613 PQC327540:PQC327613 PZY327540:PZY327613 QJU327540:QJU327613 QTQ327540:QTQ327613 RDM327540:RDM327613 RNI327540:RNI327613 RXE327540:RXE327613 SHA327540:SHA327613 SQW327540:SQW327613 TAS327540:TAS327613 TKO327540:TKO327613 TUK327540:TUK327613 UEG327540:UEG327613 UOC327540:UOC327613 UXY327540:UXY327613 VHU327540:VHU327613 VRQ327540:VRQ327613 WBM327540:WBM327613 WLI327540:WLI327613 WVE327540:WVE327613 IS393076:IS393149 SO393076:SO393149 ACK393076:ACK393149 AMG393076:AMG393149 AWC393076:AWC393149 BFY393076:BFY393149 BPU393076:BPU393149 BZQ393076:BZQ393149 CJM393076:CJM393149 CTI393076:CTI393149 DDE393076:DDE393149 DNA393076:DNA393149 DWW393076:DWW393149 EGS393076:EGS393149 EQO393076:EQO393149 FAK393076:FAK393149 FKG393076:FKG393149 FUC393076:FUC393149 GDY393076:GDY393149 GNU393076:GNU393149 GXQ393076:GXQ393149 HHM393076:HHM393149 HRI393076:HRI393149 IBE393076:IBE393149 ILA393076:ILA393149 IUW393076:IUW393149 JES393076:JES393149 JOO393076:JOO393149 JYK393076:JYK393149 KIG393076:KIG393149 KSC393076:KSC393149 LBY393076:LBY393149 LLU393076:LLU393149 LVQ393076:LVQ393149 MFM393076:MFM393149 MPI393076:MPI393149 MZE393076:MZE393149 NJA393076:NJA393149 NSW393076:NSW393149 OCS393076:OCS393149 OMO393076:OMO393149 OWK393076:OWK393149 PGG393076:PGG393149 PQC393076:PQC393149 PZY393076:PZY393149 QJU393076:QJU393149 QTQ393076:QTQ393149 RDM393076:RDM393149 RNI393076:RNI393149 RXE393076:RXE393149 SHA393076:SHA393149 SQW393076:SQW393149 TAS393076:TAS393149 TKO393076:TKO393149 TUK393076:TUK393149 UEG393076:UEG393149 UOC393076:UOC393149 UXY393076:UXY393149 VHU393076:VHU393149 VRQ393076:VRQ393149 WBM393076:WBM393149 WLI393076:WLI393149 WVE393076:WVE393149 IS458612:IS458685 SO458612:SO458685 ACK458612:ACK458685 AMG458612:AMG458685 AWC458612:AWC458685 BFY458612:BFY458685 BPU458612:BPU458685 BZQ458612:BZQ458685 CJM458612:CJM458685 CTI458612:CTI458685 DDE458612:DDE458685 DNA458612:DNA458685 DWW458612:DWW458685 EGS458612:EGS458685 EQO458612:EQO458685 FAK458612:FAK458685 FKG458612:FKG458685 FUC458612:FUC458685 GDY458612:GDY458685 GNU458612:GNU458685 GXQ458612:GXQ458685 HHM458612:HHM458685 HRI458612:HRI458685 IBE458612:IBE458685 ILA458612:ILA458685 IUW458612:IUW458685 JES458612:JES458685 JOO458612:JOO458685 JYK458612:JYK458685 KIG458612:KIG458685 KSC458612:KSC458685 LBY458612:LBY458685 LLU458612:LLU458685 LVQ458612:LVQ458685 MFM458612:MFM458685 MPI458612:MPI458685 MZE458612:MZE458685 NJA458612:NJA458685 NSW458612:NSW458685 OCS458612:OCS458685 OMO458612:OMO458685 OWK458612:OWK458685 PGG458612:PGG458685 PQC458612:PQC458685 PZY458612:PZY458685 QJU458612:QJU458685 QTQ458612:QTQ458685 RDM458612:RDM458685 RNI458612:RNI458685 RXE458612:RXE458685 SHA458612:SHA458685 SQW458612:SQW458685 TAS458612:TAS458685 TKO458612:TKO458685 TUK458612:TUK458685 UEG458612:UEG458685 UOC458612:UOC458685 UXY458612:UXY458685 VHU458612:VHU458685 VRQ458612:VRQ458685 WBM458612:WBM458685 WLI458612:WLI458685 WVE458612:WVE458685 IS524148:IS524221 SO524148:SO524221 ACK524148:ACK524221 AMG524148:AMG524221 AWC524148:AWC524221 BFY524148:BFY524221 BPU524148:BPU524221 BZQ524148:BZQ524221 CJM524148:CJM524221 CTI524148:CTI524221 DDE524148:DDE524221 DNA524148:DNA524221 DWW524148:DWW524221 EGS524148:EGS524221 EQO524148:EQO524221 FAK524148:FAK524221 FKG524148:FKG524221 FUC524148:FUC524221 GDY524148:GDY524221 GNU524148:GNU524221 GXQ524148:GXQ524221 HHM524148:HHM524221 HRI524148:HRI524221 IBE524148:IBE524221 ILA524148:ILA524221 IUW524148:IUW524221 JES524148:JES524221 JOO524148:JOO524221 JYK524148:JYK524221 KIG524148:KIG524221 KSC524148:KSC524221 LBY524148:LBY524221 LLU524148:LLU524221 LVQ524148:LVQ524221 MFM524148:MFM524221 MPI524148:MPI524221 MZE524148:MZE524221 NJA524148:NJA524221 NSW524148:NSW524221 OCS524148:OCS524221 OMO524148:OMO524221 OWK524148:OWK524221 PGG524148:PGG524221 PQC524148:PQC524221 PZY524148:PZY524221 QJU524148:QJU524221 QTQ524148:QTQ524221 RDM524148:RDM524221 RNI524148:RNI524221 RXE524148:RXE524221 SHA524148:SHA524221 SQW524148:SQW524221 TAS524148:TAS524221 TKO524148:TKO524221 TUK524148:TUK524221 UEG524148:UEG524221 UOC524148:UOC524221 UXY524148:UXY524221 VHU524148:VHU524221 VRQ524148:VRQ524221 WBM524148:WBM524221 WLI524148:WLI524221 WVE524148:WVE524221 IS589684:IS589757 SO589684:SO589757 ACK589684:ACK589757 AMG589684:AMG589757 AWC589684:AWC589757 BFY589684:BFY589757 BPU589684:BPU589757 BZQ589684:BZQ589757 CJM589684:CJM589757 CTI589684:CTI589757 DDE589684:DDE589757 DNA589684:DNA589757 DWW589684:DWW589757 EGS589684:EGS589757 EQO589684:EQO589757 FAK589684:FAK589757 FKG589684:FKG589757 FUC589684:FUC589757 GDY589684:GDY589757 GNU589684:GNU589757 GXQ589684:GXQ589757 HHM589684:HHM589757 HRI589684:HRI589757 IBE589684:IBE589757 ILA589684:ILA589757 IUW589684:IUW589757 JES589684:JES589757 JOO589684:JOO589757 JYK589684:JYK589757 KIG589684:KIG589757 KSC589684:KSC589757 LBY589684:LBY589757 LLU589684:LLU589757 LVQ589684:LVQ589757 MFM589684:MFM589757 MPI589684:MPI589757 MZE589684:MZE589757 NJA589684:NJA589757 NSW589684:NSW589757 OCS589684:OCS589757 OMO589684:OMO589757 OWK589684:OWK589757 PGG589684:PGG589757 PQC589684:PQC589757 PZY589684:PZY589757 QJU589684:QJU589757 QTQ589684:QTQ589757 RDM589684:RDM589757 RNI589684:RNI589757 RXE589684:RXE589757 SHA589684:SHA589757 SQW589684:SQW589757 TAS589684:TAS589757 TKO589684:TKO589757 TUK589684:TUK589757 UEG589684:UEG589757 UOC589684:UOC589757 UXY589684:UXY589757 VHU589684:VHU589757 VRQ589684:VRQ589757 WBM589684:WBM589757 WLI589684:WLI589757 WVE589684:WVE589757 IS655220:IS655293 SO655220:SO655293 ACK655220:ACK655293 AMG655220:AMG655293 AWC655220:AWC655293 BFY655220:BFY655293 BPU655220:BPU655293 BZQ655220:BZQ655293 CJM655220:CJM655293 CTI655220:CTI655293 DDE655220:DDE655293 DNA655220:DNA655293 DWW655220:DWW655293 EGS655220:EGS655293 EQO655220:EQO655293 FAK655220:FAK655293 FKG655220:FKG655293 FUC655220:FUC655293 GDY655220:GDY655293 GNU655220:GNU655293 GXQ655220:GXQ655293 HHM655220:HHM655293 HRI655220:HRI655293 IBE655220:IBE655293 ILA655220:ILA655293 IUW655220:IUW655293 JES655220:JES655293 JOO655220:JOO655293 JYK655220:JYK655293 KIG655220:KIG655293 KSC655220:KSC655293 LBY655220:LBY655293 LLU655220:LLU655293 LVQ655220:LVQ655293 MFM655220:MFM655293 MPI655220:MPI655293 MZE655220:MZE655293 NJA655220:NJA655293 NSW655220:NSW655293 OCS655220:OCS655293 OMO655220:OMO655293 OWK655220:OWK655293 PGG655220:PGG655293 PQC655220:PQC655293 PZY655220:PZY655293 QJU655220:QJU655293 QTQ655220:QTQ655293 RDM655220:RDM655293 RNI655220:RNI655293 RXE655220:RXE655293 SHA655220:SHA655293 SQW655220:SQW655293 TAS655220:TAS655293 TKO655220:TKO655293 TUK655220:TUK655293 UEG655220:UEG655293 UOC655220:UOC655293 UXY655220:UXY655293 VHU655220:VHU655293 VRQ655220:VRQ655293 WBM655220:WBM655293 WLI655220:WLI655293 WVE655220:WVE655293 IS720756:IS720829 SO720756:SO720829 ACK720756:ACK720829 AMG720756:AMG720829 AWC720756:AWC720829 BFY720756:BFY720829 BPU720756:BPU720829 BZQ720756:BZQ720829 CJM720756:CJM720829 CTI720756:CTI720829 DDE720756:DDE720829 DNA720756:DNA720829 DWW720756:DWW720829 EGS720756:EGS720829 EQO720756:EQO720829 FAK720756:FAK720829 FKG720756:FKG720829 FUC720756:FUC720829 GDY720756:GDY720829 GNU720756:GNU720829 GXQ720756:GXQ720829 HHM720756:HHM720829 HRI720756:HRI720829 IBE720756:IBE720829 ILA720756:ILA720829 IUW720756:IUW720829 JES720756:JES720829 JOO720756:JOO720829 JYK720756:JYK720829 KIG720756:KIG720829 KSC720756:KSC720829 LBY720756:LBY720829 LLU720756:LLU720829 LVQ720756:LVQ720829 MFM720756:MFM720829 MPI720756:MPI720829 MZE720756:MZE720829 NJA720756:NJA720829 NSW720756:NSW720829 OCS720756:OCS720829 OMO720756:OMO720829 OWK720756:OWK720829 PGG720756:PGG720829 PQC720756:PQC720829 PZY720756:PZY720829 QJU720756:QJU720829 QTQ720756:QTQ720829 RDM720756:RDM720829 RNI720756:RNI720829 RXE720756:RXE720829 SHA720756:SHA720829 SQW720756:SQW720829 TAS720756:TAS720829 TKO720756:TKO720829 TUK720756:TUK720829 UEG720756:UEG720829 UOC720756:UOC720829 UXY720756:UXY720829 VHU720756:VHU720829 VRQ720756:VRQ720829 WBM720756:WBM720829 WLI720756:WLI720829 WVE720756:WVE720829 IS786292:IS786365 SO786292:SO786365 ACK786292:ACK786365 AMG786292:AMG786365 AWC786292:AWC786365 BFY786292:BFY786365 BPU786292:BPU786365 BZQ786292:BZQ786365 CJM786292:CJM786365 CTI786292:CTI786365 DDE786292:DDE786365 DNA786292:DNA786365 DWW786292:DWW786365 EGS786292:EGS786365 EQO786292:EQO786365 FAK786292:FAK786365 FKG786292:FKG786365 FUC786292:FUC786365 GDY786292:GDY786365 GNU786292:GNU786365 GXQ786292:GXQ786365 HHM786292:HHM786365 HRI786292:HRI786365 IBE786292:IBE786365 ILA786292:ILA786365 IUW786292:IUW786365 JES786292:JES786365 JOO786292:JOO786365 JYK786292:JYK786365 KIG786292:KIG786365 KSC786292:KSC786365 LBY786292:LBY786365 LLU786292:LLU786365 LVQ786292:LVQ786365 MFM786292:MFM786365 MPI786292:MPI786365 MZE786292:MZE786365 NJA786292:NJA786365 NSW786292:NSW786365 OCS786292:OCS786365 OMO786292:OMO786365 OWK786292:OWK786365 PGG786292:PGG786365 PQC786292:PQC786365 PZY786292:PZY786365 QJU786292:QJU786365 QTQ786292:QTQ786365 RDM786292:RDM786365 RNI786292:RNI786365 RXE786292:RXE786365 SHA786292:SHA786365 SQW786292:SQW786365 TAS786292:TAS786365 TKO786292:TKO786365 TUK786292:TUK786365 UEG786292:UEG786365 UOC786292:UOC786365 UXY786292:UXY786365 VHU786292:VHU786365 VRQ786292:VRQ786365 WBM786292:WBM786365 WLI786292:WLI786365 WVE786292:WVE786365 IS851828:IS851901 SO851828:SO851901 ACK851828:ACK851901 AMG851828:AMG851901 AWC851828:AWC851901 BFY851828:BFY851901 BPU851828:BPU851901 BZQ851828:BZQ851901 CJM851828:CJM851901 CTI851828:CTI851901 DDE851828:DDE851901 DNA851828:DNA851901 DWW851828:DWW851901 EGS851828:EGS851901 EQO851828:EQO851901 FAK851828:FAK851901 FKG851828:FKG851901 FUC851828:FUC851901 GDY851828:GDY851901 GNU851828:GNU851901 GXQ851828:GXQ851901 HHM851828:HHM851901 HRI851828:HRI851901 IBE851828:IBE851901 ILA851828:ILA851901 IUW851828:IUW851901 JES851828:JES851901 JOO851828:JOO851901 JYK851828:JYK851901 KIG851828:KIG851901 KSC851828:KSC851901 LBY851828:LBY851901 LLU851828:LLU851901 LVQ851828:LVQ851901 MFM851828:MFM851901 MPI851828:MPI851901 MZE851828:MZE851901 NJA851828:NJA851901 NSW851828:NSW851901 OCS851828:OCS851901 OMO851828:OMO851901 OWK851828:OWK851901 PGG851828:PGG851901 PQC851828:PQC851901 PZY851828:PZY851901 QJU851828:QJU851901 QTQ851828:QTQ851901 RDM851828:RDM851901 RNI851828:RNI851901 RXE851828:RXE851901 SHA851828:SHA851901 SQW851828:SQW851901 TAS851828:TAS851901 TKO851828:TKO851901 TUK851828:TUK851901 UEG851828:UEG851901 UOC851828:UOC851901 UXY851828:UXY851901 VHU851828:VHU851901 VRQ851828:VRQ851901 WBM851828:WBM851901 WLI851828:WLI851901 WVE851828:WVE851901 IS917364:IS917437 SO917364:SO917437 ACK917364:ACK917437 AMG917364:AMG917437 AWC917364:AWC917437 BFY917364:BFY917437 BPU917364:BPU917437 BZQ917364:BZQ917437 CJM917364:CJM917437 CTI917364:CTI917437 DDE917364:DDE917437 DNA917364:DNA917437 DWW917364:DWW917437 EGS917364:EGS917437 EQO917364:EQO917437 FAK917364:FAK917437 FKG917364:FKG917437 FUC917364:FUC917437 GDY917364:GDY917437 GNU917364:GNU917437 GXQ917364:GXQ917437 HHM917364:HHM917437 HRI917364:HRI917437 IBE917364:IBE917437 ILA917364:ILA917437 IUW917364:IUW917437 JES917364:JES917437 JOO917364:JOO917437 JYK917364:JYK917437 KIG917364:KIG917437 KSC917364:KSC917437 LBY917364:LBY917437 LLU917364:LLU917437 LVQ917364:LVQ917437 MFM917364:MFM917437 MPI917364:MPI917437 MZE917364:MZE917437 NJA917364:NJA917437 NSW917364:NSW917437 OCS917364:OCS917437 OMO917364:OMO917437 OWK917364:OWK917437 PGG917364:PGG917437 PQC917364:PQC917437 PZY917364:PZY917437 QJU917364:QJU917437 QTQ917364:QTQ917437 RDM917364:RDM917437 RNI917364:RNI917437 RXE917364:RXE917437 SHA917364:SHA917437 SQW917364:SQW917437 TAS917364:TAS917437 TKO917364:TKO917437 TUK917364:TUK917437 UEG917364:UEG917437 UOC917364:UOC917437 UXY917364:UXY917437 VHU917364:VHU917437 VRQ917364:VRQ917437 WBM917364:WBM917437 WLI917364:WLI917437 WVE917364:WVE917437 IS982900:IS982973 SO982900:SO982973 ACK982900:ACK982973 AMG982900:AMG982973 AWC982900:AWC982973 BFY982900:BFY982973 BPU982900:BPU982973 BZQ982900:BZQ982973 CJM982900:CJM982973 CTI982900:CTI982973 DDE982900:DDE982973 DNA982900:DNA982973 DWW982900:DWW982973 EGS982900:EGS982973 EQO982900:EQO982973 FAK982900:FAK982973 FKG982900:FKG982973 FUC982900:FUC982973 GDY982900:GDY982973 GNU982900:GNU982973 GXQ982900:GXQ982973 HHM982900:HHM982973 HRI982900:HRI982973 IBE982900:IBE982973 ILA982900:ILA982973 IUW982900:IUW982973 JES982900:JES982973 JOO982900:JOO982973 JYK982900:JYK982973 KIG982900:KIG982973 KSC982900:KSC982973 LBY982900:LBY982973 LLU982900:LLU982973 LVQ982900:LVQ982973 MFM982900:MFM982973 MPI982900:MPI982973 MZE982900:MZE982973 NJA982900:NJA982973 NSW982900:NSW982973 OCS982900:OCS982973 OMO982900:OMO982973 OWK982900:OWK982973 PGG982900:PGG982973 PQC982900:PQC982973 PZY982900:PZY982973 QJU982900:QJU982973 QTQ982900:QTQ982973 RDM982900:RDM982973 RNI982900:RNI982973 RXE982900:RXE982973 SHA982900:SHA982973 SQW982900:SQW982973 TAS982900:TAS982973 TKO982900:TKO982973 TUK982900:TUK982973 UEG982900:UEG982973 UOC982900:UOC982973 UXY982900:UXY982973 VHU982900:VHU982973 VRQ982900:VRQ982973 WBM982900:WBM982973 WLI982900:WLI982973 WVE982900:WVE982973 IS65331:IS65394 SO65331:SO65394 ACK65331:ACK65394 AMG65331:AMG65394 AWC65331:AWC65394 BFY65331:BFY65394 BPU65331:BPU65394 BZQ65331:BZQ65394 CJM65331:CJM65394 CTI65331:CTI65394 DDE65331:DDE65394 DNA65331:DNA65394 DWW65331:DWW65394 EGS65331:EGS65394 EQO65331:EQO65394 FAK65331:FAK65394 FKG65331:FKG65394 FUC65331:FUC65394 GDY65331:GDY65394 GNU65331:GNU65394 GXQ65331:GXQ65394 HHM65331:HHM65394 HRI65331:HRI65394 IBE65331:IBE65394 ILA65331:ILA65394 IUW65331:IUW65394 JES65331:JES65394 JOO65331:JOO65394 JYK65331:JYK65394 KIG65331:KIG65394 KSC65331:KSC65394 LBY65331:LBY65394 LLU65331:LLU65394 LVQ65331:LVQ65394 MFM65331:MFM65394 MPI65331:MPI65394 MZE65331:MZE65394 NJA65331:NJA65394 NSW65331:NSW65394 OCS65331:OCS65394 OMO65331:OMO65394 OWK65331:OWK65394 PGG65331:PGG65394 PQC65331:PQC65394 PZY65331:PZY65394 QJU65331:QJU65394 QTQ65331:QTQ65394 RDM65331:RDM65394 RNI65331:RNI65394 RXE65331:RXE65394 SHA65331:SHA65394 SQW65331:SQW65394 TAS65331:TAS65394 TKO65331:TKO65394 TUK65331:TUK65394 UEG65331:UEG65394 UOC65331:UOC65394 UXY65331:UXY65394 VHU65331:VHU65394 VRQ65331:VRQ65394 WBM65331:WBM65394 WLI65331:WLI65394 WVE65331:WVE65394 IS130867:IS130930 SO130867:SO130930 ACK130867:ACK130930 AMG130867:AMG130930 AWC130867:AWC130930 BFY130867:BFY130930 BPU130867:BPU130930 BZQ130867:BZQ130930 CJM130867:CJM130930 CTI130867:CTI130930 DDE130867:DDE130930 DNA130867:DNA130930 DWW130867:DWW130930 EGS130867:EGS130930 EQO130867:EQO130930 FAK130867:FAK130930 FKG130867:FKG130930 FUC130867:FUC130930 GDY130867:GDY130930 GNU130867:GNU130930 GXQ130867:GXQ130930 HHM130867:HHM130930 HRI130867:HRI130930 IBE130867:IBE130930 ILA130867:ILA130930 IUW130867:IUW130930 JES130867:JES130930 JOO130867:JOO130930 JYK130867:JYK130930 KIG130867:KIG130930 KSC130867:KSC130930 LBY130867:LBY130930 LLU130867:LLU130930 LVQ130867:LVQ130930 MFM130867:MFM130930 MPI130867:MPI130930 MZE130867:MZE130930 NJA130867:NJA130930 NSW130867:NSW130930 OCS130867:OCS130930 OMO130867:OMO130930 OWK130867:OWK130930 PGG130867:PGG130930 PQC130867:PQC130930 PZY130867:PZY130930 QJU130867:QJU130930 QTQ130867:QTQ130930 RDM130867:RDM130930 RNI130867:RNI130930 RXE130867:RXE130930 SHA130867:SHA130930 SQW130867:SQW130930 TAS130867:TAS130930 TKO130867:TKO130930 TUK130867:TUK130930 UEG130867:UEG130930 UOC130867:UOC130930 UXY130867:UXY130930 VHU130867:VHU130930 VRQ130867:VRQ130930 WBM130867:WBM130930 WLI130867:WLI130930 WVE130867:WVE130930 IS196403:IS196466 SO196403:SO196466 ACK196403:ACK196466 AMG196403:AMG196466 AWC196403:AWC196466 BFY196403:BFY196466 BPU196403:BPU196466 BZQ196403:BZQ196466 CJM196403:CJM196466 CTI196403:CTI196466 DDE196403:DDE196466 DNA196403:DNA196466 DWW196403:DWW196466 EGS196403:EGS196466 EQO196403:EQO196466 FAK196403:FAK196466 FKG196403:FKG196466 FUC196403:FUC196466 GDY196403:GDY196466 GNU196403:GNU196466 GXQ196403:GXQ196466 HHM196403:HHM196466 HRI196403:HRI196466 IBE196403:IBE196466 ILA196403:ILA196466 IUW196403:IUW196466 JES196403:JES196466 JOO196403:JOO196466 JYK196403:JYK196466 KIG196403:KIG196466 KSC196403:KSC196466 LBY196403:LBY196466 LLU196403:LLU196466 LVQ196403:LVQ196466 MFM196403:MFM196466 MPI196403:MPI196466 MZE196403:MZE196466 NJA196403:NJA196466 NSW196403:NSW196466 OCS196403:OCS196466 OMO196403:OMO196466 OWK196403:OWK196466 PGG196403:PGG196466 PQC196403:PQC196466 PZY196403:PZY196466 QJU196403:QJU196466 QTQ196403:QTQ196466 RDM196403:RDM196466 RNI196403:RNI196466 RXE196403:RXE196466 SHA196403:SHA196466 SQW196403:SQW196466 TAS196403:TAS196466 TKO196403:TKO196466 TUK196403:TUK196466 UEG196403:UEG196466 UOC196403:UOC196466 UXY196403:UXY196466 VHU196403:VHU196466 VRQ196403:VRQ196466 WBM196403:WBM196466 WLI196403:WLI196466 WVE196403:WVE196466 IS261939:IS262002 SO261939:SO262002 ACK261939:ACK262002 AMG261939:AMG262002 AWC261939:AWC262002 BFY261939:BFY262002 BPU261939:BPU262002 BZQ261939:BZQ262002 CJM261939:CJM262002 CTI261939:CTI262002 DDE261939:DDE262002 DNA261939:DNA262002 DWW261939:DWW262002 EGS261939:EGS262002 EQO261939:EQO262002 FAK261939:FAK262002 FKG261939:FKG262002 FUC261939:FUC262002 GDY261939:GDY262002 GNU261939:GNU262002 GXQ261939:GXQ262002 HHM261939:HHM262002 HRI261939:HRI262002 IBE261939:IBE262002 ILA261939:ILA262002 IUW261939:IUW262002 JES261939:JES262002 JOO261939:JOO262002 JYK261939:JYK262002 KIG261939:KIG262002 KSC261939:KSC262002 LBY261939:LBY262002 LLU261939:LLU262002 LVQ261939:LVQ262002 MFM261939:MFM262002 MPI261939:MPI262002 MZE261939:MZE262002 NJA261939:NJA262002 NSW261939:NSW262002 OCS261939:OCS262002 OMO261939:OMO262002 OWK261939:OWK262002 PGG261939:PGG262002 PQC261939:PQC262002 PZY261939:PZY262002 QJU261939:QJU262002 QTQ261939:QTQ262002 RDM261939:RDM262002 RNI261939:RNI262002 RXE261939:RXE262002 SHA261939:SHA262002 SQW261939:SQW262002 TAS261939:TAS262002 TKO261939:TKO262002 TUK261939:TUK262002 UEG261939:UEG262002 UOC261939:UOC262002 UXY261939:UXY262002 VHU261939:VHU262002 VRQ261939:VRQ262002 WBM261939:WBM262002 WLI261939:WLI262002 WVE261939:WVE262002 IS327475:IS327538 SO327475:SO327538 ACK327475:ACK327538 AMG327475:AMG327538 AWC327475:AWC327538 BFY327475:BFY327538 BPU327475:BPU327538 BZQ327475:BZQ327538 CJM327475:CJM327538 CTI327475:CTI327538 DDE327475:DDE327538 DNA327475:DNA327538 DWW327475:DWW327538 EGS327475:EGS327538 EQO327475:EQO327538 FAK327475:FAK327538 FKG327475:FKG327538 FUC327475:FUC327538 GDY327475:GDY327538 GNU327475:GNU327538 GXQ327475:GXQ327538 HHM327475:HHM327538 HRI327475:HRI327538 IBE327475:IBE327538 ILA327475:ILA327538 IUW327475:IUW327538 JES327475:JES327538 JOO327475:JOO327538 JYK327475:JYK327538 KIG327475:KIG327538 KSC327475:KSC327538 LBY327475:LBY327538 LLU327475:LLU327538 LVQ327475:LVQ327538 MFM327475:MFM327538 MPI327475:MPI327538 MZE327475:MZE327538 NJA327475:NJA327538 NSW327475:NSW327538 OCS327475:OCS327538 OMO327475:OMO327538 OWK327475:OWK327538 PGG327475:PGG327538 PQC327475:PQC327538 PZY327475:PZY327538 QJU327475:QJU327538 QTQ327475:QTQ327538 RDM327475:RDM327538 RNI327475:RNI327538 RXE327475:RXE327538 SHA327475:SHA327538 SQW327475:SQW327538 TAS327475:TAS327538 TKO327475:TKO327538 TUK327475:TUK327538 UEG327475:UEG327538 UOC327475:UOC327538 UXY327475:UXY327538 VHU327475:VHU327538 VRQ327475:VRQ327538 WBM327475:WBM327538 WLI327475:WLI327538 WVE327475:WVE327538 IS393011:IS393074 SO393011:SO393074 ACK393011:ACK393074 AMG393011:AMG393074 AWC393011:AWC393074 BFY393011:BFY393074 BPU393011:BPU393074 BZQ393011:BZQ393074 CJM393011:CJM393074 CTI393011:CTI393074 DDE393011:DDE393074 DNA393011:DNA393074 DWW393011:DWW393074 EGS393011:EGS393074 EQO393011:EQO393074 FAK393011:FAK393074 FKG393011:FKG393074 FUC393011:FUC393074 GDY393011:GDY393074 GNU393011:GNU393074 GXQ393011:GXQ393074 HHM393011:HHM393074 HRI393011:HRI393074 IBE393011:IBE393074 ILA393011:ILA393074 IUW393011:IUW393074 JES393011:JES393074 JOO393011:JOO393074 JYK393011:JYK393074 KIG393011:KIG393074 KSC393011:KSC393074 LBY393011:LBY393074 LLU393011:LLU393074 LVQ393011:LVQ393074 MFM393011:MFM393074 MPI393011:MPI393074 MZE393011:MZE393074 NJA393011:NJA393074 NSW393011:NSW393074 OCS393011:OCS393074 OMO393011:OMO393074 OWK393011:OWK393074 PGG393011:PGG393074 PQC393011:PQC393074 PZY393011:PZY393074 QJU393011:QJU393074 QTQ393011:QTQ393074 RDM393011:RDM393074 RNI393011:RNI393074 RXE393011:RXE393074 SHA393011:SHA393074 SQW393011:SQW393074 TAS393011:TAS393074 TKO393011:TKO393074 TUK393011:TUK393074 UEG393011:UEG393074 UOC393011:UOC393074 UXY393011:UXY393074 VHU393011:VHU393074 VRQ393011:VRQ393074 WBM393011:WBM393074 WLI393011:WLI393074 WVE393011:WVE393074 IS458547:IS458610 SO458547:SO458610 ACK458547:ACK458610 AMG458547:AMG458610 AWC458547:AWC458610 BFY458547:BFY458610 BPU458547:BPU458610 BZQ458547:BZQ458610 CJM458547:CJM458610 CTI458547:CTI458610 DDE458547:DDE458610 DNA458547:DNA458610 DWW458547:DWW458610 EGS458547:EGS458610 EQO458547:EQO458610 FAK458547:FAK458610 FKG458547:FKG458610 FUC458547:FUC458610 GDY458547:GDY458610 GNU458547:GNU458610 GXQ458547:GXQ458610 HHM458547:HHM458610 HRI458547:HRI458610 IBE458547:IBE458610 ILA458547:ILA458610 IUW458547:IUW458610 JES458547:JES458610 JOO458547:JOO458610 JYK458547:JYK458610 KIG458547:KIG458610 KSC458547:KSC458610 LBY458547:LBY458610 LLU458547:LLU458610 LVQ458547:LVQ458610 MFM458547:MFM458610 MPI458547:MPI458610 MZE458547:MZE458610 NJA458547:NJA458610 NSW458547:NSW458610 OCS458547:OCS458610 OMO458547:OMO458610 OWK458547:OWK458610 PGG458547:PGG458610 PQC458547:PQC458610 PZY458547:PZY458610 QJU458547:QJU458610 QTQ458547:QTQ458610 RDM458547:RDM458610 RNI458547:RNI458610 RXE458547:RXE458610 SHA458547:SHA458610 SQW458547:SQW458610 TAS458547:TAS458610 TKO458547:TKO458610 TUK458547:TUK458610 UEG458547:UEG458610 UOC458547:UOC458610 UXY458547:UXY458610 VHU458547:VHU458610 VRQ458547:VRQ458610 WBM458547:WBM458610 WLI458547:WLI458610 WVE458547:WVE458610 IS524083:IS524146 SO524083:SO524146 ACK524083:ACK524146 AMG524083:AMG524146 AWC524083:AWC524146 BFY524083:BFY524146 BPU524083:BPU524146 BZQ524083:BZQ524146 CJM524083:CJM524146 CTI524083:CTI524146 DDE524083:DDE524146 DNA524083:DNA524146 DWW524083:DWW524146 EGS524083:EGS524146 EQO524083:EQO524146 FAK524083:FAK524146 FKG524083:FKG524146 FUC524083:FUC524146 GDY524083:GDY524146 GNU524083:GNU524146 GXQ524083:GXQ524146 HHM524083:HHM524146 HRI524083:HRI524146 IBE524083:IBE524146 ILA524083:ILA524146 IUW524083:IUW524146 JES524083:JES524146 JOO524083:JOO524146 JYK524083:JYK524146 KIG524083:KIG524146 KSC524083:KSC524146 LBY524083:LBY524146 LLU524083:LLU524146 LVQ524083:LVQ524146 MFM524083:MFM524146 MPI524083:MPI524146 MZE524083:MZE524146 NJA524083:NJA524146 NSW524083:NSW524146 OCS524083:OCS524146 OMO524083:OMO524146 OWK524083:OWK524146 PGG524083:PGG524146 PQC524083:PQC524146 PZY524083:PZY524146 QJU524083:QJU524146 QTQ524083:QTQ524146 RDM524083:RDM524146 RNI524083:RNI524146 RXE524083:RXE524146 SHA524083:SHA524146 SQW524083:SQW524146 TAS524083:TAS524146 TKO524083:TKO524146 TUK524083:TUK524146 UEG524083:UEG524146 UOC524083:UOC524146 UXY524083:UXY524146 VHU524083:VHU524146 VRQ524083:VRQ524146 WBM524083:WBM524146 WLI524083:WLI524146 WVE524083:WVE524146 IS589619:IS589682 SO589619:SO589682 ACK589619:ACK589682 AMG589619:AMG589682 AWC589619:AWC589682 BFY589619:BFY589682 BPU589619:BPU589682 BZQ589619:BZQ589682 CJM589619:CJM589682 CTI589619:CTI589682 DDE589619:DDE589682 DNA589619:DNA589682 DWW589619:DWW589682 EGS589619:EGS589682 EQO589619:EQO589682 FAK589619:FAK589682 FKG589619:FKG589682 FUC589619:FUC589682 GDY589619:GDY589682 GNU589619:GNU589682 GXQ589619:GXQ589682 HHM589619:HHM589682 HRI589619:HRI589682 IBE589619:IBE589682 ILA589619:ILA589682 IUW589619:IUW589682 JES589619:JES589682 JOO589619:JOO589682 JYK589619:JYK589682 KIG589619:KIG589682 KSC589619:KSC589682 LBY589619:LBY589682 LLU589619:LLU589682 LVQ589619:LVQ589682 MFM589619:MFM589682 MPI589619:MPI589682 MZE589619:MZE589682 NJA589619:NJA589682 NSW589619:NSW589682 OCS589619:OCS589682 OMO589619:OMO589682 OWK589619:OWK589682 PGG589619:PGG589682 PQC589619:PQC589682 PZY589619:PZY589682 QJU589619:QJU589682 QTQ589619:QTQ589682 RDM589619:RDM589682 RNI589619:RNI589682 RXE589619:RXE589682 SHA589619:SHA589682 SQW589619:SQW589682 TAS589619:TAS589682 TKO589619:TKO589682 TUK589619:TUK589682 UEG589619:UEG589682 UOC589619:UOC589682 UXY589619:UXY589682 VHU589619:VHU589682 VRQ589619:VRQ589682 WBM589619:WBM589682 WLI589619:WLI589682 WVE589619:WVE589682 IS655155:IS655218 SO655155:SO655218 ACK655155:ACK655218 AMG655155:AMG655218 AWC655155:AWC655218 BFY655155:BFY655218 BPU655155:BPU655218 BZQ655155:BZQ655218 CJM655155:CJM655218 CTI655155:CTI655218 DDE655155:DDE655218 DNA655155:DNA655218 DWW655155:DWW655218 EGS655155:EGS655218 EQO655155:EQO655218 FAK655155:FAK655218 FKG655155:FKG655218 FUC655155:FUC655218 GDY655155:GDY655218 GNU655155:GNU655218 GXQ655155:GXQ655218 HHM655155:HHM655218 HRI655155:HRI655218 IBE655155:IBE655218 ILA655155:ILA655218 IUW655155:IUW655218 JES655155:JES655218 JOO655155:JOO655218 JYK655155:JYK655218 KIG655155:KIG655218 KSC655155:KSC655218 LBY655155:LBY655218 LLU655155:LLU655218 LVQ655155:LVQ655218 MFM655155:MFM655218 MPI655155:MPI655218 MZE655155:MZE655218 NJA655155:NJA655218 NSW655155:NSW655218 OCS655155:OCS655218 OMO655155:OMO655218 OWK655155:OWK655218 PGG655155:PGG655218 PQC655155:PQC655218 PZY655155:PZY655218 QJU655155:QJU655218 QTQ655155:QTQ655218 RDM655155:RDM655218 RNI655155:RNI655218 RXE655155:RXE655218 SHA655155:SHA655218 SQW655155:SQW655218 TAS655155:TAS655218 TKO655155:TKO655218 TUK655155:TUK655218 UEG655155:UEG655218 UOC655155:UOC655218 UXY655155:UXY655218 VHU655155:VHU655218 VRQ655155:VRQ655218 WBM655155:WBM655218 WLI655155:WLI655218 WVE655155:WVE655218 IS720691:IS720754 SO720691:SO720754 ACK720691:ACK720754 AMG720691:AMG720754 AWC720691:AWC720754 BFY720691:BFY720754 BPU720691:BPU720754 BZQ720691:BZQ720754 CJM720691:CJM720754 CTI720691:CTI720754 DDE720691:DDE720754 DNA720691:DNA720754 DWW720691:DWW720754 EGS720691:EGS720754 EQO720691:EQO720754 FAK720691:FAK720754 FKG720691:FKG720754 FUC720691:FUC720754 GDY720691:GDY720754 GNU720691:GNU720754 GXQ720691:GXQ720754 HHM720691:HHM720754 HRI720691:HRI720754 IBE720691:IBE720754 ILA720691:ILA720754 IUW720691:IUW720754 JES720691:JES720754 JOO720691:JOO720754 JYK720691:JYK720754 KIG720691:KIG720754 KSC720691:KSC720754 LBY720691:LBY720754 LLU720691:LLU720754 LVQ720691:LVQ720754 MFM720691:MFM720754 MPI720691:MPI720754 MZE720691:MZE720754 NJA720691:NJA720754 NSW720691:NSW720754 OCS720691:OCS720754 OMO720691:OMO720754 OWK720691:OWK720754 PGG720691:PGG720754 PQC720691:PQC720754 PZY720691:PZY720754 QJU720691:QJU720754 QTQ720691:QTQ720754 RDM720691:RDM720754 RNI720691:RNI720754 RXE720691:RXE720754 SHA720691:SHA720754 SQW720691:SQW720754 TAS720691:TAS720754 TKO720691:TKO720754 TUK720691:TUK720754 UEG720691:UEG720754 UOC720691:UOC720754 UXY720691:UXY720754 VHU720691:VHU720754 VRQ720691:VRQ720754 WBM720691:WBM720754 WLI720691:WLI720754 WVE720691:WVE720754 IS786227:IS786290 SO786227:SO786290 ACK786227:ACK786290 AMG786227:AMG786290 AWC786227:AWC786290 BFY786227:BFY786290 BPU786227:BPU786290 BZQ786227:BZQ786290 CJM786227:CJM786290 CTI786227:CTI786290 DDE786227:DDE786290 DNA786227:DNA786290 DWW786227:DWW786290 EGS786227:EGS786290 EQO786227:EQO786290 FAK786227:FAK786290 FKG786227:FKG786290 FUC786227:FUC786290 GDY786227:GDY786290 GNU786227:GNU786290 GXQ786227:GXQ786290 HHM786227:HHM786290 HRI786227:HRI786290 IBE786227:IBE786290 ILA786227:ILA786290 IUW786227:IUW786290 JES786227:JES786290 JOO786227:JOO786290 JYK786227:JYK786290 KIG786227:KIG786290 KSC786227:KSC786290 LBY786227:LBY786290 LLU786227:LLU786290 LVQ786227:LVQ786290 MFM786227:MFM786290 MPI786227:MPI786290 MZE786227:MZE786290 NJA786227:NJA786290 NSW786227:NSW786290 OCS786227:OCS786290 OMO786227:OMO786290 OWK786227:OWK786290 PGG786227:PGG786290 PQC786227:PQC786290 PZY786227:PZY786290 QJU786227:QJU786290 QTQ786227:QTQ786290 RDM786227:RDM786290 RNI786227:RNI786290 RXE786227:RXE786290 SHA786227:SHA786290 SQW786227:SQW786290 TAS786227:TAS786290 TKO786227:TKO786290 TUK786227:TUK786290 UEG786227:UEG786290 UOC786227:UOC786290 UXY786227:UXY786290 VHU786227:VHU786290 VRQ786227:VRQ786290 WBM786227:WBM786290 WLI786227:WLI786290 WVE786227:WVE786290 IS851763:IS851826 SO851763:SO851826 ACK851763:ACK851826 AMG851763:AMG851826 AWC851763:AWC851826 BFY851763:BFY851826 BPU851763:BPU851826 BZQ851763:BZQ851826 CJM851763:CJM851826 CTI851763:CTI851826 DDE851763:DDE851826 DNA851763:DNA851826 DWW851763:DWW851826 EGS851763:EGS851826 EQO851763:EQO851826 FAK851763:FAK851826 FKG851763:FKG851826 FUC851763:FUC851826 GDY851763:GDY851826 GNU851763:GNU851826 GXQ851763:GXQ851826 HHM851763:HHM851826 HRI851763:HRI851826 IBE851763:IBE851826 ILA851763:ILA851826 IUW851763:IUW851826 JES851763:JES851826 JOO851763:JOO851826 JYK851763:JYK851826 KIG851763:KIG851826 KSC851763:KSC851826 LBY851763:LBY851826 LLU851763:LLU851826 LVQ851763:LVQ851826 MFM851763:MFM851826 MPI851763:MPI851826 MZE851763:MZE851826 NJA851763:NJA851826 NSW851763:NSW851826 OCS851763:OCS851826 OMO851763:OMO851826 OWK851763:OWK851826 PGG851763:PGG851826 PQC851763:PQC851826 PZY851763:PZY851826 QJU851763:QJU851826 QTQ851763:QTQ851826 RDM851763:RDM851826 RNI851763:RNI851826 RXE851763:RXE851826 SHA851763:SHA851826 SQW851763:SQW851826 TAS851763:TAS851826 TKO851763:TKO851826 TUK851763:TUK851826 UEG851763:UEG851826 UOC851763:UOC851826 UXY851763:UXY851826 VHU851763:VHU851826 VRQ851763:VRQ851826 WBM851763:WBM851826 WLI851763:WLI851826 WVE851763:WVE851826 IS917299:IS917362 SO917299:SO917362 ACK917299:ACK917362 AMG917299:AMG917362 AWC917299:AWC917362 BFY917299:BFY917362 BPU917299:BPU917362 BZQ917299:BZQ917362 CJM917299:CJM917362 CTI917299:CTI917362 DDE917299:DDE917362 DNA917299:DNA917362 DWW917299:DWW917362 EGS917299:EGS917362 EQO917299:EQO917362 FAK917299:FAK917362 FKG917299:FKG917362 FUC917299:FUC917362 GDY917299:GDY917362 GNU917299:GNU917362 GXQ917299:GXQ917362 HHM917299:HHM917362 HRI917299:HRI917362 IBE917299:IBE917362 ILA917299:ILA917362 IUW917299:IUW917362 JES917299:JES917362 JOO917299:JOO917362 JYK917299:JYK917362 KIG917299:KIG917362 KSC917299:KSC917362 LBY917299:LBY917362 LLU917299:LLU917362 LVQ917299:LVQ917362 MFM917299:MFM917362 MPI917299:MPI917362 MZE917299:MZE917362 NJA917299:NJA917362 NSW917299:NSW917362 OCS917299:OCS917362 OMO917299:OMO917362 OWK917299:OWK917362 PGG917299:PGG917362 PQC917299:PQC917362 PZY917299:PZY917362 QJU917299:QJU917362 QTQ917299:QTQ917362 RDM917299:RDM917362 RNI917299:RNI917362 RXE917299:RXE917362 SHA917299:SHA917362 SQW917299:SQW917362 TAS917299:TAS917362 TKO917299:TKO917362 TUK917299:TUK917362 UEG917299:UEG917362 UOC917299:UOC917362 UXY917299:UXY917362 VHU917299:VHU917362 VRQ917299:VRQ917362 WBM917299:WBM917362 WLI917299:WLI917362 WVE917299:WVE917362 IS982835:IS982898 SO982835:SO982898 ACK982835:ACK982898 AMG982835:AMG982898 AWC982835:AWC982898 BFY982835:BFY982898 BPU982835:BPU982898 BZQ982835:BZQ982898 CJM982835:CJM982898 CTI982835:CTI982898 DDE982835:DDE982898 DNA982835:DNA982898 DWW982835:DWW982898 EGS982835:EGS982898 EQO982835:EQO982898 FAK982835:FAK982898 FKG982835:FKG982898 FUC982835:FUC982898 GDY982835:GDY982898 GNU982835:GNU982898 GXQ982835:GXQ982898 HHM982835:HHM982898 HRI982835:HRI982898 IBE982835:IBE982898 ILA982835:ILA982898 IUW982835:IUW982898 JES982835:JES982898 JOO982835:JOO982898 JYK982835:JYK982898 KIG982835:KIG982898 KSC982835:KSC982898 LBY982835:LBY982898 LLU982835:LLU982898 LVQ982835:LVQ982898 MFM982835:MFM982898 MPI982835:MPI982898 MZE982835:MZE982898 NJA982835:NJA982898 NSW982835:NSW982898 OCS982835:OCS982898 OMO982835:OMO982898 OWK982835:OWK982898 PGG982835:PGG982898 PQC982835:PQC982898 PZY982835:PZY982898 QJU982835:QJU982898 QTQ982835:QTQ982898 RDM982835:RDM982898 RNI982835:RNI982898 RXE982835:RXE982898 SHA982835:SHA982898 SQW982835:SQW982898 TAS982835:TAS982898 TKO982835:TKO982898 TUK982835:TUK982898 UEG982835:UEG982898 UOC982835:UOC982898 UXY982835:UXY982898 VHU982835:VHU982898 VRQ982835:VRQ982898 WBM982835:WBM982898 WLI982835:WLI982898 WVE982835:WVE982898 IS65775:IS65830 SO65775:SO65830 ACK65775:ACK65830 AMG65775:AMG65830 AWC65775:AWC65830 BFY65775:BFY65830 BPU65775:BPU65830 BZQ65775:BZQ65830 CJM65775:CJM65830 CTI65775:CTI65830 DDE65775:DDE65830 DNA65775:DNA65830 DWW65775:DWW65830 EGS65775:EGS65830 EQO65775:EQO65830 FAK65775:FAK65830 FKG65775:FKG65830 FUC65775:FUC65830 GDY65775:GDY65830 GNU65775:GNU65830 GXQ65775:GXQ65830 HHM65775:HHM65830 HRI65775:HRI65830 IBE65775:IBE65830 ILA65775:ILA65830 IUW65775:IUW65830 JES65775:JES65830 JOO65775:JOO65830 JYK65775:JYK65830 KIG65775:KIG65830 KSC65775:KSC65830 LBY65775:LBY65830 LLU65775:LLU65830 LVQ65775:LVQ65830 MFM65775:MFM65830 MPI65775:MPI65830 MZE65775:MZE65830 NJA65775:NJA65830 NSW65775:NSW65830 OCS65775:OCS65830 OMO65775:OMO65830 OWK65775:OWK65830 PGG65775:PGG65830 PQC65775:PQC65830 PZY65775:PZY65830 QJU65775:QJU65830 QTQ65775:QTQ65830 RDM65775:RDM65830 RNI65775:RNI65830 RXE65775:RXE65830 SHA65775:SHA65830 SQW65775:SQW65830 TAS65775:TAS65830 TKO65775:TKO65830 TUK65775:TUK65830 UEG65775:UEG65830 UOC65775:UOC65830 UXY65775:UXY65830 VHU65775:VHU65830 VRQ65775:VRQ65830 WBM65775:WBM65830 WLI65775:WLI65830 WVE65775:WVE65830 IS131311:IS131366 SO131311:SO131366 ACK131311:ACK131366 AMG131311:AMG131366 AWC131311:AWC131366 BFY131311:BFY131366 BPU131311:BPU131366 BZQ131311:BZQ131366 CJM131311:CJM131366 CTI131311:CTI131366 DDE131311:DDE131366 DNA131311:DNA131366 DWW131311:DWW131366 EGS131311:EGS131366 EQO131311:EQO131366 FAK131311:FAK131366 FKG131311:FKG131366 FUC131311:FUC131366 GDY131311:GDY131366 GNU131311:GNU131366 GXQ131311:GXQ131366 HHM131311:HHM131366 HRI131311:HRI131366 IBE131311:IBE131366 ILA131311:ILA131366 IUW131311:IUW131366 JES131311:JES131366 JOO131311:JOO131366 JYK131311:JYK131366 KIG131311:KIG131366 KSC131311:KSC131366 LBY131311:LBY131366 LLU131311:LLU131366 LVQ131311:LVQ131366 MFM131311:MFM131366 MPI131311:MPI131366 MZE131311:MZE131366 NJA131311:NJA131366 NSW131311:NSW131366 OCS131311:OCS131366 OMO131311:OMO131366 OWK131311:OWK131366 PGG131311:PGG131366 PQC131311:PQC131366 PZY131311:PZY131366 QJU131311:QJU131366 QTQ131311:QTQ131366 RDM131311:RDM131366 RNI131311:RNI131366 RXE131311:RXE131366 SHA131311:SHA131366 SQW131311:SQW131366 TAS131311:TAS131366 TKO131311:TKO131366 TUK131311:TUK131366 UEG131311:UEG131366 UOC131311:UOC131366 UXY131311:UXY131366 VHU131311:VHU131366 VRQ131311:VRQ131366 WBM131311:WBM131366 WLI131311:WLI131366 WVE131311:WVE131366 IS196847:IS196902 SO196847:SO196902 ACK196847:ACK196902 AMG196847:AMG196902 AWC196847:AWC196902 BFY196847:BFY196902 BPU196847:BPU196902 BZQ196847:BZQ196902 CJM196847:CJM196902 CTI196847:CTI196902 DDE196847:DDE196902 DNA196847:DNA196902 DWW196847:DWW196902 EGS196847:EGS196902 EQO196847:EQO196902 FAK196847:FAK196902 FKG196847:FKG196902 FUC196847:FUC196902 GDY196847:GDY196902 GNU196847:GNU196902 GXQ196847:GXQ196902 HHM196847:HHM196902 HRI196847:HRI196902 IBE196847:IBE196902 ILA196847:ILA196902 IUW196847:IUW196902 JES196847:JES196902 JOO196847:JOO196902 JYK196847:JYK196902 KIG196847:KIG196902 KSC196847:KSC196902 LBY196847:LBY196902 LLU196847:LLU196902 LVQ196847:LVQ196902 MFM196847:MFM196902 MPI196847:MPI196902 MZE196847:MZE196902 NJA196847:NJA196902 NSW196847:NSW196902 OCS196847:OCS196902 OMO196847:OMO196902 OWK196847:OWK196902 PGG196847:PGG196902 PQC196847:PQC196902 PZY196847:PZY196902 QJU196847:QJU196902 QTQ196847:QTQ196902 RDM196847:RDM196902 RNI196847:RNI196902 RXE196847:RXE196902 SHA196847:SHA196902 SQW196847:SQW196902 TAS196847:TAS196902 TKO196847:TKO196902 TUK196847:TUK196902 UEG196847:UEG196902 UOC196847:UOC196902 UXY196847:UXY196902 VHU196847:VHU196902 VRQ196847:VRQ196902 WBM196847:WBM196902 WLI196847:WLI196902 WVE196847:WVE196902 IS262383:IS262438 SO262383:SO262438 ACK262383:ACK262438 AMG262383:AMG262438 AWC262383:AWC262438 BFY262383:BFY262438 BPU262383:BPU262438 BZQ262383:BZQ262438 CJM262383:CJM262438 CTI262383:CTI262438 DDE262383:DDE262438 DNA262383:DNA262438 DWW262383:DWW262438 EGS262383:EGS262438 EQO262383:EQO262438 FAK262383:FAK262438 FKG262383:FKG262438 FUC262383:FUC262438 GDY262383:GDY262438 GNU262383:GNU262438 GXQ262383:GXQ262438 HHM262383:HHM262438 HRI262383:HRI262438 IBE262383:IBE262438 ILA262383:ILA262438 IUW262383:IUW262438 JES262383:JES262438 JOO262383:JOO262438 JYK262383:JYK262438 KIG262383:KIG262438 KSC262383:KSC262438 LBY262383:LBY262438 LLU262383:LLU262438 LVQ262383:LVQ262438 MFM262383:MFM262438 MPI262383:MPI262438 MZE262383:MZE262438 NJA262383:NJA262438 NSW262383:NSW262438 OCS262383:OCS262438 OMO262383:OMO262438 OWK262383:OWK262438 PGG262383:PGG262438 PQC262383:PQC262438 PZY262383:PZY262438 QJU262383:QJU262438 QTQ262383:QTQ262438 RDM262383:RDM262438 RNI262383:RNI262438 RXE262383:RXE262438 SHA262383:SHA262438 SQW262383:SQW262438 TAS262383:TAS262438 TKO262383:TKO262438 TUK262383:TUK262438 UEG262383:UEG262438 UOC262383:UOC262438 UXY262383:UXY262438 VHU262383:VHU262438 VRQ262383:VRQ262438 WBM262383:WBM262438 WLI262383:WLI262438 WVE262383:WVE262438 IS327919:IS327974 SO327919:SO327974 ACK327919:ACK327974 AMG327919:AMG327974 AWC327919:AWC327974 BFY327919:BFY327974 BPU327919:BPU327974 BZQ327919:BZQ327974 CJM327919:CJM327974 CTI327919:CTI327974 DDE327919:DDE327974 DNA327919:DNA327974 DWW327919:DWW327974 EGS327919:EGS327974 EQO327919:EQO327974 FAK327919:FAK327974 FKG327919:FKG327974 FUC327919:FUC327974 GDY327919:GDY327974 GNU327919:GNU327974 GXQ327919:GXQ327974 HHM327919:HHM327974 HRI327919:HRI327974 IBE327919:IBE327974 ILA327919:ILA327974 IUW327919:IUW327974 JES327919:JES327974 JOO327919:JOO327974 JYK327919:JYK327974 KIG327919:KIG327974 KSC327919:KSC327974 LBY327919:LBY327974 LLU327919:LLU327974 LVQ327919:LVQ327974 MFM327919:MFM327974 MPI327919:MPI327974 MZE327919:MZE327974 NJA327919:NJA327974 NSW327919:NSW327974 OCS327919:OCS327974 OMO327919:OMO327974 OWK327919:OWK327974 PGG327919:PGG327974 PQC327919:PQC327974 PZY327919:PZY327974 QJU327919:QJU327974 QTQ327919:QTQ327974 RDM327919:RDM327974 RNI327919:RNI327974 RXE327919:RXE327974 SHA327919:SHA327974 SQW327919:SQW327974 TAS327919:TAS327974 TKO327919:TKO327974 TUK327919:TUK327974 UEG327919:UEG327974 UOC327919:UOC327974 UXY327919:UXY327974 VHU327919:VHU327974 VRQ327919:VRQ327974 WBM327919:WBM327974 WLI327919:WLI327974 WVE327919:WVE327974 IS393455:IS393510 SO393455:SO393510 ACK393455:ACK393510 AMG393455:AMG393510 AWC393455:AWC393510 BFY393455:BFY393510 BPU393455:BPU393510 BZQ393455:BZQ393510 CJM393455:CJM393510 CTI393455:CTI393510 DDE393455:DDE393510 DNA393455:DNA393510 DWW393455:DWW393510 EGS393455:EGS393510 EQO393455:EQO393510 FAK393455:FAK393510 FKG393455:FKG393510 FUC393455:FUC393510 GDY393455:GDY393510 GNU393455:GNU393510 GXQ393455:GXQ393510 HHM393455:HHM393510 HRI393455:HRI393510 IBE393455:IBE393510 ILA393455:ILA393510 IUW393455:IUW393510 JES393455:JES393510 JOO393455:JOO393510 JYK393455:JYK393510 KIG393455:KIG393510 KSC393455:KSC393510 LBY393455:LBY393510 LLU393455:LLU393510 LVQ393455:LVQ393510 MFM393455:MFM393510 MPI393455:MPI393510 MZE393455:MZE393510 NJA393455:NJA393510 NSW393455:NSW393510 OCS393455:OCS393510 OMO393455:OMO393510 OWK393455:OWK393510 PGG393455:PGG393510 PQC393455:PQC393510 PZY393455:PZY393510 QJU393455:QJU393510 QTQ393455:QTQ393510 RDM393455:RDM393510 RNI393455:RNI393510 RXE393455:RXE393510 SHA393455:SHA393510 SQW393455:SQW393510 TAS393455:TAS393510 TKO393455:TKO393510 TUK393455:TUK393510 UEG393455:UEG393510 UOC393455:UOC393510 UXY393455:UXY393510 VHU393455:VHU393510 VRQ393455:VRQ393510 WBM393455:WBM393510 WLI393455:WLI393510 WVE393455:WVE393510 IS458991:IS459046 SO458991:SO459046 ACK458991:ACK459046 AMG458991:AMG459046 AWC458991:AWC459046 BFY458991:BFY459046 BPU458991:BPU459046 BZQ458991:BZQ459046 CJM458991:CJM459046 CTI458991:CTI459046 DDE458991:DDE459046 DNA458991:DNA459046 DWW458991:DWW459046 EGS458991:EGS459046 EQO458991:EQO459046 FAK458991:FAK459046 FKG458991:FKG459046 FUC458991:FUC459046 GDY458991:GDY459046 GNU458991:GNU459046 GXQ458991:GXQ459046 HHM458991:HHM459046 HRI458991:HRI459046 IBE458991:IBE459046 ILA458991:ILA459046 IUW458991:IUW459046 JES458991:JES459046 JOO458991:JOO459046 JYK458991:JYK459046 KIG458991:KIG459046 KSC458991:KSC459046 LBY458991:LBY459046 LLU458991:LLU459046 LVQ458991:LVQ459046 MFM458991:MFM459046 MPI458991:MPI459046 MZE458991:MZE459046 NJA458991:NJA459046 NSW458991:NSW459046 OCS458991:OCS459046 OMO458991:OMO459046 OWK458991:OWK459046 PGG458991:PGG459046 PQC458991:PQC459046 PZY458991:PZY459046 QJU458991:QJU459046 QTQ458991:QTQ459046 RDM458991:RDM459046 RNI458991:RNI459046 RXE458991:RXE459046 SHA458991:SHA459046 SQW458991:SQW459046 TAS458991:TAS459046 TKO458991:TKO459046 TUK458991:TUK459046 UEG458991:UEG459046 UOC458991:UOC459046 UXY458991:UXY459046 VHU458991:VHU459046 VRQ458991:VRQ459046 WBM458991:WBM459046 WLI458991:WLI459046 WVE458991:WVE459046 IS524527:IS524582 SO524527:SO524582 ACK524527:ACK524582 AMG524527:AMG524582 AWC524527:AWC524582 BFY524527:BFY524582 BPU524527:BPU524582 BZQ524527:BZQ524582 CJM524527:CJM524582 CTI524527:CTI524582 DDE524527:DDE524582 DNA524527:DNA524582 DWW524527:DWW524582 EGS524527:EGS524582 EQO524527:EQO524582 FAK524527:FAK524582 FKG524527:FKG524582 FUC524527:FUC524582 GDY524527:GDY524582 GNU524527:GNU524582 GXQ524527:GXQ524582 HHM524527:HHM524582 HRI524527:HRI524582 IBE524527:IBE524582 ILA524527:ILA524582 IUW524527:IUW524582 JES524527:JES524582 JOO524527:JOO524582 JYK524527:JYK524582 KIG524527:KIG524582 KSC524527:KSC524582 LBY524527:LBY524582 LLU524527:LLU524582 LVQ524527:LVQ524582 MFM524527:MFM524582 MPI524527:MPI524582 MZE524527:MZE524582 NJA524527:NJA524582 NSW524527:NSW524582 OCS524527:OCS524582 OMO524527:OMO524582 OWK524527:OWK524582 PGG524527:PGG524582 PQC524527:PQC524582 PZY524527:PZY524582 QJU524527:QJU524582 QTQ524527:QTQ524582 RDM524527:RDM524582 RNI524527:RNI524582 RXE524527:RXE524582 SHA524527:SHA524582 SQW524527:SQW524582 TAS524527:TAS524582 TKO524527:TKO524582 TUK524527:TUK524582 UEG524527:UEG524582 UOC524527:UOC524582 UXY524527:UXY524582 VHU524527:VHU524582 VRQ524527:VRQ524582 WBM524527:WBM524582 WLI524527:WLI524582 WVE524527:WVE524582 IS590063:IS590118 SO590063:SO590118 ACK590063:ACK590118 AMG590063:AMG590118 AWC590063:AWC590118 BFY590063:BFY590118 BPU590063:BPU590118 BZQ590063:BZQ590118 CJM590063:CJM590118 CTI590063:CTI590118 DDE590063:DDE590118 DNA590063:DNA590118 DWW590063:DWW590118 EGS590063:EGS590118 EQO590063:EQO590118 FAK590063:FAK590118 FKG590063:FKG590118 FUC590063:FUC590118 GDY590063:GDY590118 GNU590063:GNU590118 GXQ590063:GXQ590118 HHM590063:HHM590118 HRI590063:HRI590118 IBE590063:IBE590118 ILA590063:ILA590118 IUW590063:IUW590118 JES590063:JES590118 JOO590063:JOO590118 JYK590063:JYK590118 KIG590063:KIG590118 KSC590063:KSC590118 LBY590063:LBY590118 LLU590063:LLU590118 LVQ590063:LVQ590118 MFM590063:MFM590118 MPI590063:MPI590118 MZE590063:MZE590118 NJA590063:NJA590118 NSW590063:NSW590118 OCS590063:OCS590118 OMO590063:OMO590118 OWK590063:OWK590118 PGG590063:PGG590118 PQC590063:PQC590118 PZY590063:PZY590118 QJU590063:QJU590118 QTQ590063:QTQ590118 RDM590063:RDM590118 RNI590063:RNI590118 RXE590063:RXE590118 SHA590063:SHA590118 SQW590063:SQW590118 TAS590063:TAS590118 TKO590063:TKO590118 TUK590063:TUK590118 UEG590063:UEG590118 UOC590063:UOC590118 UXY590063:UXY590118 VHU590063:VHU590118 VRQ590063:VRQ590118 WBM590063:WBM590118 WLI590063:WLI590118 WVE590063:WVE590118 IS655599:IS655654 SO655599:SO655654 ACK655599:ACK655654 AMG655599:AMG655654 AWC655599:AWC655654 BFY655599:BFY655654 BPU655599:BPU655654 BZQ655599:BZQ655654 CJM655599:CJM655654 CTI655599:CTI655654 DDE655599:DDE655654 DNA655599:DNA655654 DWW655599:DWW655654 EGS655599:EGS655654 EQO655599:EQO655654 FAK655599:FAK655654 FKG655599:FKG655654 FUC655599:FUC655654 GDY655599:GDY655654 GNU655599:GNU655654 GXQ655599:GXQ655654 HHM655599:HHM655654 HRI655599:HRI655654 IBE655599:IBE655654 ILA655599:ILA655654 IUW655599:IUW655654 JES655599:JES655654 JOO655599:JOO655654 JYK655599:JYK655654 KIG655599:KIG655654 KSC655599:KSC655654 LBY655599:LBY655654 LLU655599:LLU655654 LVQ655599:LVQ655654 MFM655599:MFM655654 MPI655599:MPI655654 MZE655599:MZE655654 NJA655599:NJA655654 NSW655599:NSW655654 OCS655599:OCS655654 OMO655599:OMO655654 OWK655599:OWK655654 PGG655599:PGG655654 PQC655599:PQC655654 PZY655599:PZY655654 QJU655599:QJU655654 QTQ655599:QTQ655654 RDM655599:RDM655654 RNI655599:RNI655654 RXE655599:RXE655654 SHA655599:SHA655654 SQW655599:SQW655654 TAS655599:TAS655654 TKO655599:TKO655654 TUK655599:TUK655654 UEG655599:UEG655654 UOC655599:UOC655654 UXY655599:UXY655654 VHU655599:VHU655654 VRQ655599:VRQ655654 WBM655599:WBM655654 WLI655599:WLI655654 WVE655599:WVE655654 IS721135:IS721190 SO721135:SO721190 ACK721135:ACK721190 AMG721135:AMG721190 AWC721135:AWC721190 BFY721135:BFY721190 BPU721135:BPU721190 BZQ721135:BZQ721190 CJM721135:CJM721190 CTI721135:CTI721190 DDE721135:DDE721190 DNA721135:DNA721190 DWW721135:DWW721190 EGS721135:EGS721190 EQO721135:EQO721190 FAK721135:FAK721190 FKG721135:FKG721190 FUC721135:FUC721190 GDY721135:GDY721190 GNU721135:GNU721190 GXQ721135:GXQ721190 HHM721135:HHM721190 HRI721135:HRI721190 IBE721135:IBE721190 ILA721135:ILA721190 IUW721135:IUW721190 JES721135:JES721190 JOO721135:JOO721190 JYK721135:JYK721190 KIG721135:KIG721190 KSC721135:KSC721190 LBY721135:LBY721190 LLU721135:LLU721190 LVQ721135:LVQ721190 MFM721135:MFM721190 MPI721135:MPI721190 MZE721135:MZE721190 NJA721135:NJA721190 NSW721135:NSW721190 OCS721135:OCS721190 OMO721135:OMO721190 OWK721135:OWK721190 PGG721135:PGG721190 PQC721135:PQC721190 PZY721135:PZY721190 QJU721135:QJU721190 QTQ721135:QTQ721190 RDM721135:RDM721190 RNI721135:RNI721190 RXE721135:RXE721190 SHA721135:SHA721190 SQW721135:SQW721190 TAS721135:TAS721190 TKO721135:TKO721190 TUK721135:TUK721190 UEG721135:UEG721190 UOC721135:UOC721190 UXY721135:UXY721190 VHU721135:VHU721190 VRQ721135:VRQ721190 WBM721135:WBM721190 WLI721135:WLI721190 WVE721135:WVE721190 IS786671:IS786726 SO786671:SO786726 ACK786671:ACK786726 AMG786671:AMG786726 AWC786671:AWC786726 BFY786671:BFY786726 BPU786671:BPU786726 BZQ786671:BZQ786726 CJM786671:CJM786726 CTI786671:CTI786726 DDE786671:DDE786726 DNA786671:DNA786726 DWW786671:DWW786726 EGS786671:EGS786726 EQO786671:EQO786726 FAK786671:FAK786726 FKG786671:FKG786726 FUC786671:FUC786726 GDY786671:GDY786726 GNU786671:GNU786726 GXQ786671:GXQ786726 HHM786671:HHM786726 HRI786671:HRI786726 IBE786671:IBE786726 ILA786671:ILA786726 IUW786671:IUW786726 JES786671:JES786726 JOO786671:JOO786726 JYK786671:JYK786726 KIG786671:KIG786726 KSC786671:KSC786726 LBY786671:LBY786726 LLU786671:LLU786726 LVQ786671:LVQ786726 MFM786671:MFM786726 MPI786671:MPI786726 MZE786671:MZE786726 NJA786671:NJA786726 NSW786671:NSW786726 OCS786671:OCS786726 OMO786671:OMO786726 OWK786671:OWK786726 PGG786671:PGG786726 PQC786671:PQC786726 PZY786671:PZY786726 QJU786671:QJU786726 QTQ786671:QTQ786726 RDM786671:RDM786726 RNI786671:RNI786726 RXE786671:RXE786726 SHA786671:SHA786726 SQW786671:SQW786726 TAS786671:TAS786726 TKO786671:TKO786726 TUK786671:TUK786726 UEG786671:UEG786726 UOC786671:UOC786726 UXY786671:UXY786726 VHU786671:VHU786726 VRQ786671:VRQ786726 WBM786671:WBM786726 WLI786671:WLI786726 WVE786671:WVE786726 IS852207:IS852262 SO852207:SO852262 ACK852207:ACK852262 AMG852207:AMG852262 AWC852207:AWC852262 BFY852207:BFY852262 BPU852207:BPU852262 BZQ852207:BZQ852262 CJM852207:CJM852262 CTI852207:CTI852262 DDE852207:DDE852262 DNA852207:DNA852262 DWW852207:DWW852262 EGS852207:EGS852262 EQO852207:EQO852262 FAK852207:FAK852262 FKG852207:FKG852262 FUC852207:FUC852262 GDY852207:GDY852262 GNU852207:GNU852262 GXQ852207:GXQ852262 HHM852207:HHM852262 HRI852207:HRI852262 IBE852207:IBE852262 ILA852207:ILA852262 IUW852207:IUW852262 JES852207:JES852262 JOO852207:JOO852262 JYK852207:JYK852262 KIG852207:KIG852262 KSC852207:KSC852262 LBY852207:LBY852262 LLU852207:LLU852262 LVQ852207:LVQ852262 MFM852207:MFM852262 MPI852207:MPI852262 MZE852207:MZE852262 NJA852207:NJA852262 NSW852207:NSW852262 OCS852207:OCS852262 OMO852207:OMO852262 OWK852207:OWK852262 PGG852207:PGG852262 PQC852207:PQC852262 PZY852207:PZY852262 QJU852207:QJU852262 QTQ852207:QTQ852262 RDM852207:RDM852262 RNI852207:RNI852262 RXE852207:RXE852262 SHA852207:SHA852262 SQW852207:SQW852262 TAS852207:TAS852262 TKO852207:TKO852262 TUK852207:TUK852262 UEG852207:UEG852262 UOC852207:UOC852262 UXY852207:UXY852262 VHU852207:VHU852262 VRQ852207:VRQ852262 WBM852207:WBM852262 WLI852207:WLI852262 WVE852207:WVE852262 IS917743:IS917798 SO917743:SO917798 ACK917743:ACK917798 AMG917743:AMG917798 AWC917743:AWC917798 BFY917743:BFY917798 BPU917743:BPU917798 BZQ917743:BZQ917798 CJM917743:CJM917798 CTI917743:CTI917798 DDE917743:DDE917798 DNA917743:DNA917798 DWW917743:DWW917798 EGS917743:EGS917798 EQO917743:EQO917798 FAK917743:FAK917798 FKG917743:FKG917798 FUC917743:FUC917798 GDY917743:GDY917798 GNU917743:GNU917798 GXQ917743:GXQ917798 HHM917743:HHM917798 HRI917743:HRI917798 IBE917743:IBE917798 ILA917743:ILA917798 IUW917743:IUW917798 JES917743:JES917798 JOO917743:JOO917798 JYK917743:JYK917798 KIG917743:KIG917798 KSC917743:KSC917798 LBY917743:LBY917798 LLU917743:LLU917798 LVQ917743:LVQ917798 MFM917743:MFM917798 MPI917743:MPI917798 MZE917743:MZE917798 NJA917743:NJA917798 NSW917743:NSW917798 OCS917743:OCS917798 OMO917743:OMO917798 OWK917743:OWK917798 PGG917743:PGG917798 PQC917743:PQC917798 PZY917743:PZY917798 QJU917743:QJU917798 QTQ917743:QTQ917798 RDM917743:RDM917798 RNI917743:RNI917798 RXE917743:RXE917798 SHA917743:SHA917798 SQW917743:SQW917798 TAS917743:TAS917798 TKO917743:TKO917798 TUK917743:TUK917798 UEG917743:UEG917798 UOC917743:UOC917798 UXY917743:UXY917798 VHU917743:VHU917798 VRQ917743:VRQ917798 WBM917743:WBM917798 WLI917743:WLI917798 WVE917743:WVE917798 IS983279:IS983334 SO983279:SO983334 ACK983279:ACK983334 AMG983279:AMG983334 AWC983279:AWC983334 BFY983279:BFY983334 BPU983279:BPU983334 BZQ983279:BZQ983334 CJM983279:CJM983334 CTI983279:CTI983334 DDE983279:DDE983334 DNA983279:DNA983334 DWW983279:DWW983334 EGS983279:EGS983334 EQO983279:EQO983334 FAK983279:FAK983334 FKG983279:FKG983334 FUC983279:FUC983334 GDY983279:GDY983334 GNU983279:GNU983334 GXQ983279:GXQ983334 HHM983279:HHM983334 HRI983279:HRI983334 IBE983279:IBE983334 ILA983279:ILA983334 IUW983279:IUW983334 JES983279:JES983334 JOO983279:JOO983334 JYK983279:JYK983334 KIG983279:KIG983334 KSC983279:KSC983334 LBY983279:LBY983334 LLU983279:LLU983334 LVQ983279:LVQ983334 MFM983279:MFM983334 MPI983279:MPI983334 MZE983279:MZE983334 NJA983279:NJA983334 NSW983279:NSW983334 OCS983279:OCS983334 OMO983279:OMO983334 OWK983279:OWK983334 PGG983279:PGG983334 PQC983279:PQC983334 PZY983279:PZY983334 QJU983279:QJU983334 QTQ983279:QTQ983334 RDM983279:RDM983334 RNI983279:RNI983334 RXE983279:RXE983334 SHA983279:SHA983334 SQW983279:SQW983334 TAS983279:TAS983334 TKO983279:TKO983334 TUK983279:TUK983334 UEG983279:UEG983334 UOC983279:UOC983334 UXY983279:UXY983334 VHU983279:VHU983334 VRQ983279:VRQ983334 WBM983279:WBM983334 WLI983279:WLI983334 WVE983279:WVE983334 IS65773 SO65773 ACK65773 AMG65773 AWC65773 BFY65773 BPU65773 BZQ65773 CJM65773 CTI65773 DDE65773 DNA65773 DWW65773 EGS65773 EQO65773 FAK65773 FKG65773 FUC65773 GDY65773 GNU65773 GXQ65773 HHM65773 HRI65773 IBE65773 ILA65773 IUW65773 JES65773 JOO65773 JYK65773 KIG65773 KSC65773 LBY65773 LLU65773 LVQ65773 MFM65773 MPI65773 MZE65773 NJA65773 NSW65773 OCS65773 OMO65773 OWK65773 PGG65773 PQC65773 PZY65773 QJU65773 QTQ65773 RDM65773 RNI65773 RXE65773 SHA65773 SQW65773 TAS65773 TKO65773 TUK65773 UEG65773 UOC65773 UXY65773 VHU65773 VRQ65773 WBM65773 WLI65773 WVE65773 IS131309 SO131309 ACK131309 AMG131309 AWC131309 BFY131309 BPU131309 BZQ131309 CJM131309 CTI131309 DDE131309 DNA131309 DWW131309 EGS131309 EQO131309 FAK131309 FKG131309 FUC131309 GDY131309 GNU131309 GXQ131309 HHM131309 HRI131309 IBE131309 ILA131309 IUW131309 JES131309 JOO131309 JYK131309 KIG131309 KSC131309 LBY131309 LLU131309 LVQ131309 MFM131309 MPI131309 MZE131309 NJA131309 NSW131309 OCS131309 OMO131309 OWK131309 PGG131309 PQC131309 PZY131309 QJU131309 QTQ131309 RDM131309 RNI131309 RXE131309 SHA131309 SQW131309 TAS131309 TKO131309 TUK131309 UEG131309 UOC131309 UXY131309 VHU131309 VRQ131309 WBM131309 WLI131309 WVE131309 IS196845 SO196845 ACK196845 AMG196845 AWC196845 BFY196845 BPU196845 BZQ196845 CJM196845 CTI196845 DDE196845 DNA196845 DWW196845 EGS196845 EQO196845 FAK196845 FKG196845 FUC196845 GDY196845 GNU196845 GXQ196845 HHM196845 HRI196845 IBE196845 ILA196845 IUW196845 JES196845 JOO196845 JYK196845 KIG196845 KSC196845 LBY196845 LLU196845 LVQ196845 MFM196845 MPI196845 MZE196845 NJA196845 NSW196845 OCS196845 OMO196845 OWK196845 PGG196845 PQC196845 PZY196845 QJU196845 QTQ196845 RDM196845 RNI196845 RXE196845 SHA196845 SQW196845 TAS196845 TKO196845 TUK196845 UEG196845 UOC196845 UXY196845 VHU196845 VRQ196845 WBM196845 WLI196845 WVE196845 IS262381 SO262381 ACK262381 AMG262381 AWC262381 BFY262381 BPU262381 BZQ262381 CJM262381 CTI262381 DDE262381 DNA262381 DWW262381 EGS262381 EQO262381 FAK262381 FKG262381 FUC262381 GDY262381 GNU262381 GXQ262381 HHM262381 HRI262381 IBE262381 ILA262381 IUW262381 JES262381 JOO262381 JYK262381 KIG262381 KSC262381 LBY262381 LLU262381 LVQ262381 MFM262381 MPI262381 MZE262381 NJA262381 NSW262381 OCS262381 OMO262381 OWK262381 PGG262381 PQC262381 PZY262381 QJU262381 QTQ262381 RDM262381 RNI262381 RXE262381 SHA262381 SQW262381 TAS262381 TKO262381 TUK262381 UEG262381 UOC262381 UXY262381 VHU262381 VRQ262381 WBM262381 WLI262381 WVE262381 IS327917 SO327917 ACK327917 AMG327917 AWC327917 BFY327917 BPU327917 BZQ327917 CJM327917 CTI327917 DDE327917 DNA327917 DWW327917 EGS327917 EQO327917 FAK327917 FKG327917 FUC327917 GDY327917 GNU327917 GXQ327917 HHM327917 HRI327917 IBE327917 ILA327917 IUW327917 JES327917 JOO327917 JYK327917 KIG327917 KSC327917 LBY327917 LLU327917 LVQ327917 MFM327917 MPI327917 MZE327917 NJA327917 NSW327917 OCS327917 OMO327917 OWK327917 PGG327917 PQC327917 PZY327917 QJU327917 QTQ327917 RDM327917 RNI327917 RXE327917 SHA327917 SQW327917 TAS327917 TKO327917 TUK327917 UEG327917 UOC327917 UXY327917 VHU327917 VRQ327917 WBM327917 WLI327917 WVE327917 IS393453 SO393453 ACK393453 AMG393453 AWC393453 BFY393453 BPU393453 BZQ393453 CJM393453 CTI393453 DDE393453 DNA393453 DWW393453 EGS393453 EQO393453 FAK393453 FKG393453 FUC393453 GDY393453 GNU393453 GXQ393453 HHM393453 HRI393453 IBE393453 ILA393453 IUW393453 JES393453 JOO393453 JYK393453 KIG393453 KSC393453 LBY393453 LLU393453 LVQ393453 MFM393453 MPI393453 MZE393453 NJA393453 NSW393453 OCS393453 OMO393453 OWK393453 PGG393453 PQC393453 PZY393453 QJU393453 QTQ393453 RDM393453 RNI393453 RXE393453 SHA393453 SQW393453 TAS393453 TKO393453 TUK393453 UEG393453 UOC393453 UXY393453 VHU393453 VRQ393453 WBM393453 WLI393453 WVE393453 IS458989 SO458989 ACK458989 AMG458989 AWC458989 BFY458989 BPU458989 BZQ458989 CJM458989 CTI458989 DDE458989 DNA458989 DWW458989 EGS458989 EQO458989 FAK458989 FKG458989 FUC458989 GDY458989 GNU458989 GXQ458989 HHM458989 HRI458989 IBE458989 ILA458989 IUW458989 JES458989 JOO458989 JYK458989 KIG458989 KSC458989 LBY458989 LLU458989 LVQ458989 MFM458989 MPI458989 MZE458989 NJA458989 NSW458989 OCS458989 OMO458989 OWK458989 PGG458989 PQC458989 PZY458989 QJU458989 QTQ458989 RDM458989 RNI458989 RXE458989 SHA458989 SQW458989 TAS458989 TKO458989 TUK458989 UEG458989 UOC458989 UXY458989 VHU458989 VRQ458989 WBM458989 WLI458989 WVE458989 IS524525 SO524525 ACK524525 AMG524525 AWC524525 BFY524525 BPU524525 BZQ524525 CJM524525 CTI524525 DDE524525 DNA524525 DWW524525 EGS524525 EQO524525 FAK524525 FKG524525 FUC524525 GDY524525 GNU524525 GXQ524525 HHM524525 HRI524525 IBE524525 ILA524525 IUW524525 JES524525 JOO524525 JYK524525 KIG524525 KSC524525 LBY524525 LLU524525 LVQ524525 MFM524525 MPI524525 MZE524525 NJA524525 NSW524525 OCS524525 OMO524525 OWK524525 PGG524525 PQC524525 PZY524525 QJU524525 QTQ524525 RDM524525 RNI524525 RXE524525 SHA524525 SQW524525 TAS524525 TKO524525 TUK524525 UEG524525 UOC524525 UXY524525 VHU524525 VRQ524525 WBM524525 WLI524525 WVE524525 IS590061 SO590061 ACK590061 AMG590061 AWC590061 BFY590061 BPU590061 BZQ590061 CJM590061 CTI590061 DDE590061 DNA590061 DWW590061 EGS590061 EQO590061 FAK590061 FKG590061 FUC590061 GDY590061 GNU590061 GXQ590061 HHM590061 HRI590061 IBE590061 ILA590061 IUW590061 JES590061 JOO590061 JYK590061 KIG590061 KSC590061 LBY590061 LLU590061 LVQ590061 MFM590061 MPI590061 MZE590061 NJA590061 NSW590061 OCS590061 OMO590061 OWK590061 PGG590061 PQC590061 PZY590061 QJU590061 QTQ590061 RDM590061 RNI590061 RXE590061 SHA590061 SQW590061 TAS590061 TKO590061 TUK590061 UEG590061 UOC590061 UXY590061 VHU590061 VRQ590061 WBM590061 WLI590061 WVE590061 IS655597 SO655597 ACK655597 AMG655597 AWC655597 BFY655597 BPU655597 BZQ655597 CJM655597 CTI655597 DDE655597 DNA655597 DWW655597 EGS655597 EQO655597 FAK655597 FKG655597 FUC655597 GDY655597 GNU655597 GXQ655597 HHM655597 HRI655597 IBE655597 ILA655597 IUW655597 JES655597 JOO655597 JYK655597 KIG655597 KSC655597 LBY655597 LLU655597 LVQ655597 MFM655597 MPI655597 MZE655597 NJA655597 NSW655597 OCS655597 OMO655597 OWK655597 PGG655597 PQC655597 PZY655597 QJU655597 QTQ655597 RDM655597 RNI655597 RXE655597 SHA655597 SQW655597 TAS655597 TKO655597 TUK655597 UEG655597 UOC655597 UXY655597 VHU655597 VRQ655597 WBM655597 WLI655597 WVE655597 IS721133 SO721133 ACK721133 AMG721133 AWC721133 BFY721133 BPU721133 BZQ721133 CJM721133 CTI721133 DDE721133 DNA721133 DWW721133 EGS721133 EQO721133 FAK721133 FKG721133 FUC721133 GDY721133 GNU721133 GXQ721133 HHM721133 HRI721133 IBE721133 ILA721133 IUW721133 JES721133 JOO721133 JYK721133 KIG721133 KSC721133 LBY721133 LLU721133 LVQ721133 MFM721133 MPI721133 MZE721133 NJA721133 NSW721133 OCS721133 OMO721133 OWK721133 PGG721133 PQC721133 PZY721133 QJU721133 QTQ721133 RDM721133 RNI721133 RXE721133 SHA721133 SQW721133 TAS721133 TKO721133 TUK721133 UEG721133 UOC721133 UXY721133 VHU721133 VRQ721133 WBM721133 WLI721133 WVE721133 IS786669 SO786669 ACK786669 AMG786669 AWC786669 BFY786669 BPU786669 BZQ786669 CJM786669 CTI786669 DDE786669 DNA786669 DWW786669 EGS786669 EQO786669 FAK786669 FKG786669 FUC786669 GDY786669 GNU786669 GXQ786669 HHM786669 HRI786669 IBE786669 ILA786669 IUW786669 JES786669 JOO786669 JYK786669 KIG786669 KSC786669 LBY786669 LLU786669 LVQ786669 MFM786669 MPI786669 MZE786669 NJA786669 NSW786669 OCS786669 OMO786669 OWK786669 PGG786669 PQC786669 PZY786669 QJU786669 QTQ786669 RDM786669 RNI786669 RXE786669 SHA786669 SQW786669 TAS786669 TKO786669 TUK786669 UEG786669 UOC786669 UXY786669 VHU786669 VRQ786669 WBM786669 WLI786669 WVE786669 IS852205 SO852205 ACK852205 AMG852205 AWC852205 BFY852205 BPU852205 BZQ852205 CJM852205 CTI852205 DDE852205 DNA852205 DWW852205 EGS852205 EQO852205 FAK852205 FKG852205 FUC852205 GDY852205 GNU852205 GXQ852205 HHM852205 HRI852205 IBE852205 ILA852205 IUW852205 JES852205 JOO852205 JYK852205 KIG852205 KSC852205 LBY852205 LLU852205 LVQ852205 MFM852205 MPI852205 MZE852205 NJA852205 NSW852205 OCS852205 OMO852205 OWK852205 PGG852205 PQC852205 PZY852205 QJU852205 QTQ852205 RDM852205 RNI852205 RXE852205 SHA852205 SQW852205 TAS852205 TKO852205 TUK852205 UEG852205 UOC852205 UXY852205 VHU852205 VRQ852205 WBM852205 WLI852205 WVE852205 IS917741 SO917741 ACK917741 AMG917741 AWC917741 BFY917741 BPU917741 BZQ917741 CJM917741 CTI917741 DDE917741 DNA917741 DWW917741 EGS917741 EQO917741 FAK917741 FKG917741 FUC917741 GDY917741 GNU917741 GXQ917741 HHM917741 HRI917741 IBE917741 ILA917741 IUW917741 JES917741 JOO917741 JYK917741 KIG917741 KSC917741 LBY917741 LLU917741 LVQ917741 MFM917741 MPI917741 MZE917741 NJA917741 NSW917741 OCS917741 OMO917741 OWK917741 PGG917741 PQC917741 PZY917741 QJU917741 QTQ917741 RDM917741 RNI917741 RXE917741 SHA917741 SQW917741 TAS917741 TKO917741 TUK917741 UEG917741 UOC917741 UXY917741 VHU917741 VRQ917741 WBM917741 WLI917741 WVE917741 IS983277 SO983277 ACK983277 AMG983277 AWC983277 BFY983277 BPU983277 BZQ983277 CJM983277 CTI983277 DDE983277 DNA983277 DWW983277 EGS983277 EQO983277 FAK983277 FKG983277 FUC983277 GDY983277 GNU983277 GXQ983277 HHM983277 HRI983277 IBE983277 ILA983277 IUW983277 JES983277 JOO983277 JYK983277 KIG983277 KSC983277 LBY983277 LLU983277 LVQ983277 MFM983277 MPI983277 MZE983277 NJA983277 NSW983277 OCS983277 OMO983277 OWK983277 PGG983277 PQC983277 PZY983277 QJU983277 QTQ983277 RDM983277 RNI983277 RXE983277 SHA983277 SQW983277 TAS983277 TKO983277 TUK983277 UEG983277 UOC983277 UXY983277 VHU983277 VRQ983277 WBM983277 WLI983277 WVE983277 IS65471:IS65657 SO65471:SO65657 ACK65471:ACK65657 AMG65471:AMG65657 AWC65471:AWC65657 BFY65471:BFY65657 BPU65471:BPU65657 BZQ65471:BZQ65657 CJM65471:CJM65657 CTI65471:CTI65657 DDE65471:DDE65657 DNA65471:DNA65657 DWW65471:DWW65657 EGS65471:EGS65657 EQO65471:EQO65657 FAK65471:FAK65657 FKG65471:FKG65657 FUC65471:FUC65657 GDY65471:GDY65657 GNU65471:GNU65657 GXQ65471:GXQ65657 HHM65471:HHM65657 HRI65471:HRI65657 IBE65471:IBE65657 ILA65471:ILA65657 IUW65471:IUW65657 JES65471:JES65657 JOO65471:JOO65657 JYK65471:JYK65657 KIG65471:KIG65657 KSC65471:KSC65657 LBY65471:LBY65657 LLU65471:LLU65657 LVQ65471:LVQ65657 MFM65471:MFM65657 MPI65471:MPI65657 MZE65471:MZE65657 NJA65471:NJA65657 NSW65471:NSW65657 OCS65471:OCS65657 OMO65471:OMO65657 OWK65471:OWK65657 PGG65471:PGG65657 PQC65471:PQC65657 PZY65471:PZY65657 QJU65471:QJU65657 QTQ65471:QTQ65657 RDM65471:RDM65657 RNI65471:RNI65657 RXE65471:RXE65657 SHA65471:SHA65657 SQW65471:SQW65657 TAS65471:TAS65657 TKO65471:TKO65657 TUK65471:TUK65657 UEG65471:UEG65657 UOC65471:UOC65657 UXY65471:UXY65657 VHU65471:VHU65657 VRQ65471:VRQ65657 WBM65471:WBM65657 WLI65471:WLI65657 WVE65471:WVE65657 IS131007:IS131193 SO131007:SO131193 ACK131007:ACK131193 AMG131007:AMG131193 AWC131007:AWC131193 BFY131007:BFY131193 BPU131007:BPU131193 BZQ131007:BZQ131193 CJM131007:CJM131193 CTI131007:CTI131193 DDE131007:DDE131193 DNA131007:DNA131193 DWW131007:DWW131193 EGS131007:EGS131193 EQO131007:EQO131193 FAK131007:FAK131193 FKG131007:FKG131193 FUC131007:FUC131193 GDY131007:GDY131193 GNU131007:GNU131193 GXQ131007:GXQ131193 HHM131007:HHM131193 HRI131007:HRI131193 IBE131007:IBE131193 ILA131007:ILA131193 IUW131007:IUW131193 JES131007:JES131193 JOO131007:JOO131193 JYK131007:JYK131193 KIG131007:KIG131193 KSC131007:KSC131193 LBY131007:LBY131193 LLU131007:LLU131193 LVQ131007:LVQ131193 MFM131007:MFM131193 MPI131007:MPI131193 MZE131007:MZE131193 NJA131007:NJA131193 NSW131007:NSW131193 OCS131007:OCS131193 OMO131007:OMO131193 OWK131007:OWK131193 PGG131007:PGG131193 PQC131007:PQC131193 PZY131007:PZY131193 QJU131007:QJU131193 QTQ131007:QTQ131193 RDM131007:RDM131193 RNI131007:RNI131193 RXE131007:RXE131193 SHA131007:SHA131193 SQW131007:SQW131193 TAS131007:TAS131193 TKO131007:TKO131193 TUK131007:TUK131193 UEG131007:UEG131193 UOC131007:UOC131193 UXY131007:UXY131193 VHU131007:VHU131193 VRQ131007:VRQ131193 WBM131007:WBM131193 WLI131007:WLI131193 WVE131007:WVE131193 IS196543:IS196729 SO196543:SO196729 ACK196543:ACK196729 AMG196543:AMG196729 AWC196543:AWC196729 BFY196543:BFY196729 BPU196543:BPU196729 BZQ196543:BZQ196729 CJM196543:CJM196729 CTI196543:CTI196729 DDE196543:DDE196729 DNA196543:DNA196729 DWW196543:DWW196729 EGS196543:EGS196729 EQO196543:EQO196729 FAK196543:FAK196729 FKG196543:FKG196729 FUC196543:FUC196729 GDY196543:GDY196729 GNU196543:GNU196729 GXQ196543:GXQ196729 HHM196543:HHM196729 HRI196543:HRI196729 IBE196543:IBE196729 ILA196543:ILA196729 IUW196543:IUW196729 JES196543:JES196729 JOO196543:JOO196729 JYK196543:JYK196729 KIG196543:KIG196729 KSC196543:KSC196729 LBY196543:LBY196729 LLU196543:LLU196729 LVQ196543:LVQ196729 MFM196543:MFM196729 MPI196543:MPI196729 MZE196543:MZE196729 NJA196543:NJA196729 NSW196543:NSW196729 OCS196543:OCS196729 OMO196543:OMO196729 OWK196543:OWK196729 PGG196543:PGG196729 PQC196543:PQC196729 PZY196543:PZY196729 QJU196543:QJU196729 QTQ196543:QTQ196729 RDM196543:RDM196729 RNI196543:RNI196729 RXE196543:RXE196729 SHA196543:SHA196729 SQW196543:SQW196729 TAS196543:TAS196729 TKO196543:TKO196729 TUK196543:TUK196729 UEG196543:UEG196729 UOC196543:UOC196729 UXY196543:UXY196729 VHU196543:VHU196729 VRQ196543:VRQ196729 WBM196543:WBM196729 WLI196543:WLI196729 WVE196543:WVE196729 IS262079:IS262265 SO262079:SO262265 ACK262079:ACK262265 AMG262079:AMG262265 AWC262079:AWC262265 BFY262079:BFY262265 BPU262079:BPU262265 BZQ262079:BZQ262265 CJM262079:CJM262265 CTI262079:CTI262265 DDE262079:DDE262265 DNA262079:DNA262265 DWW262079:DWW262265 EGS262079:EGS262265 EQO262079:EQO262265 FAK262079:FAK262265 FKG262079:FKG262265 FUC262079:FUC262265 GDY262079:GDY262265 GNU262079:GNU262265 GXQ262079:GXQ262265 HHM262079:HHM262265 HRI262079:HRI262265 IBE262079:IBE262265 ILA262079:ILA262265 IUW262079:IUW262265 JES262079:JES262265 JOO262079:JOO262265 JYK262079:JYK262265 KIG262079:KIG262265 KSC262079:KSC262265 LBY262079:LBY262265 LLU262079:LLU262265 LVQ262079:LVQ262265 MFM262079:MFM262265 MPI262079:MPI262265 MZE262079:MZE262265 NJA262079:NJA262265 NSW262079:NSW262265 OCS262079:OCS262265 OMO262079:OMO262265 OWK262079:OWK262265 PGG262079:PGG262265 PQC262079:PQC262265 PZY262079:PZY262265 QJU262079:QJU262265 QTQ262079:QTQ262265 RDM262079:RDM262265 RNI262079:RNI262265 RXE262079:RXE262265 SHA262079:SHA262265 SQW262079:SQW262265 TAS262079:TAS262265 TKO262079:TKO262265 TUK262079:TUK262265 UEG262079:UEG262265 UOC262079:UOC262265 UXY262079:UXY262265 VHU262079:VHU262265 VRQ262079:VRQ262265 WBM262079:WBM262265 WLI262079:WLI262265 WVE262079:WVE262265 IS327615:IS327801 SO327615:SO327801 ACK327615:ACK327801 AMG327615:AMG327801 AWC327615:AWC327801 BFY327615:BFY327801 BPU327615:BPU327801 BZQ327615:BZQ327801 CJM327615:CJM327801 CTI327615:CTI327801 DDE327615:DDE327801 DNA327615:DNA327801 DWW327615:DWW327801 EGS327615:EGS327801 EQO327615:EQO327801 FAK327615:FAK327801 FKG327615:FKG327801 FUC327615:FUC327801 GDY327615:GDY327801 GNU327615:GNU327801 GXQ327615:GXQ327801 HHM327615:HHM327801 HRI327615:HRI327801 IBE327615:IBE327801 ILA327615:ILA327801 IUW327615:IUW327801 JES327615:JES327801 JOO327615:JOO327801 JYK327615:JYK327801 KIG327615:KIG327801 KSC327615:KSC327801 LBY327615:LBY327801 LLU327615:LLU327801 LVQ327615:LVQ327801 MFM327615:MFM327801 MPI327615:MPI327801 MZE327615:MZE327801 NJA327615:NJA327801 NSW327615:NSW327801 OCS327615:OCS327801 OMO327615:OMO327801 OWK327615:OWK327801 PGG327615:PGG327801 PQC327615:PQC327801 PZY327615:PZY327801 QJU327615:QJU327801 QTQ327615:QTQ327801 RDM327615:RDM327801 RNI327615:RNI327801 RXE327615:RXE327801 SHA327615:SHA327801 SQW327615:SQW327801 TAS327615:TAS327801 TKO327615:TKO327801 TUK327615:TUK327801 UEG327615:UEG327801 UOC327615:UOC327801 UXY327615:UXY327801 VHU327615:VHU327801 VRQ327615:VRQ327801 WBM327615:WBM327801 WLI327615:WLI327801 WVE327615:WVE327801 IS393151:IS393337 SO393151:SO393337 ACK393151:ACK393337 AMG393151:AMG393337 AWC393151:AWC393337 BFY393151:BFY393337 BPU393151:BPU393337 BZQ393151:BZQ393337 CJM393151:CJM393337 CTI393151:CTI393337 DDE393151:DDE393337 DNA393151:DNA393337 DWW393151:DWW393337 EGS393151:EGS393337 EQO393151:EQO393337 FAK393151:FAK393337 FKG393151:FKG393337 FUC393151:FUC393337 GDY393151:GDY393337 GNU393151:GNU393337 GXQ393151:GXQ393337 HHM393151:HHM393337 HRI393151:HRI393337 IBE393151:IBE393337 ILA393151:ILA393337 IUW393151:IUW393337 JES393151:JES393337 JOO393151:JOO393337 JYK393151:JYK393337 KIG393151:KIG393337 KSC393151:KSC393337 LBY393151:LBY393337 LLU393151:LLU393337 LVQ393151:LVQ393337 MFM393151:MFM393337 MPI393151:MPI393337 MZE393151:MZE393337 NJA393151:NJA393337 NSW393151:NSW393337 OCS393151:OCS393337 OMO393151:OMO393337 OWK393151:OWK393337 PGG393151:PGG393337 PQC393151:PQC393337 PZY393151:PZY393337 QJU393151:QJU393337 QTQ393151:QTQ393337 RDM393151:RDM393337 RNI393151:RNI393337 RXE393151:RXE393337 SHA393151:SHA393337 SQW393151:SQW393337 TAS393151:TAS393337 TKO393151:TKO393337 TUK393151:TUK393337 UEG393151:UEG393337 UOC393151:UOC393337 UXY393151:UXY393337 VHU393151:VHU393337 VRQ393151:VRQ393337 WBM393151:WBM393337 WLI393151:WLI393337 WVE393151:WVE393337 IS458687:IS458873 SO458687:SO458873 ACK458687:ACK458873 AMG458687:AMG458873 AWC458687:AWC458873 BFY458687:BFY458873 BPU458687:BPU458873 BZQ458687:BZQ458873 CJM458687:CJM458873 CTI458687:CTI458873 DDE458687:DDE458873 DNA458687:DNA458873 DWW458687:DWW458873 EGS458687:EGS458873 EQO458687:EQO458873 FAK458687:FAK458873 FKG458687:FKG458873 FUC458687:FUC458873 GDY458687:GDY458873 GNU458687:GNU458873 GXQ458687:GXQ458873 HHM458687:HHM458873 HRI458687:HRI458873 IBE458687:IBE458873 ILA458687:ILA458873 IUW458687:IUW458873 JES458687:JES458873 JOO458687:JOO458873 JYK458687:JYK458873 KIG458687:KIG458873 KSC458687:KSC458873 LBY458687:LBY458873 LLU458687:LLU458873 LVQ458687:LVQ458873 MFM458687:MFM458873 MPI458687:MPI458873 MZE458687:MZE458873 NJA458687:NJA458873 NSW458687:NSW458873 OCS458687:OCS458873 OMO458687:OMO458873 OWK458687:OWK458873 PGG458687:PGG458873 PQC458687:PQC458873 PZY458687:PZY458873 QJU458687:QJU458873 QTQ458687:QTQ458873 RDM458687:RDM458873 RNI458687:RNI458873 RXE458687:RXE458873 SHA458687:SHA458873 SQW458687:SQW458873 TAS458687:TAS458873 TKO458687:TKO458873 TUK458687:TUK458873 UEG458687:UEG458873 UOC458687:UOC458873 UXY458687:UXY458873 VHU458687:VHU458873 VRQ458687:VRQ458873 WBM458687:WBM458873 WLI458687:WLI458873 WVE458687:WVE458873 IS524223:IS524409 SO524223:SO524409 ACK524223:ACK524409 AMG524223:AMG524409 AWC524223:AWC524409 BFY524223:BFY524409 BPU524223:BPU524409 BZQ524223:BZQ524409 CJM524223:CJM524409 CTI524223:CTI524409 DDE524223:DDE524409 DNA524223:DNA524409 DWW524223:DWW524409 EGS524223:EGS524409 EQO524223:EQO524409 FAK524223:FAK524409 FKG524223:FKG524409 FUC524223:FUC524409 GDY524223:GDY524409 GNU524223:GNU524409 GXQ524223:GXQ524409 HHM524223:HHM524409 HRI524223:HRI524409 IBE524223:IBE524409 ILA524223:ILA524409 IUW524223:IUW524409 JES524223:JES524409 JOO524223:JOO524409 JYK524223:JYK524409 KIG524223:KIG524409 KSC524223:KSC524409 LBY524223:LBY524409 LLU524223:LLU524409 LVQ524223:LVQ524409 MFM524223:MFM524409 MPI524223:MPI524409 MZE524223:MZE524409 NJA524223:NJA524409 NSW524223:NSW524409 OCS524223:OCS524409 OMO524223:OMO524409 OWK524223:OWK524409 PGG524223:PGG524409 PQC524223:PQC524409 PZY524223:PZY524409 QJU524223:QJU524409 QTQ524223:QTQ524409 RDM524223:RDM524409 RNI524223:RNI524409 RXE524223:RXE524409 SHA524223:SHA524409 SQW524223:SQW524409 TAS524223:TAS524409 TKO524223:TKO524409 TUK524223:TUK524409 UEG524223:UEG524409 UOC524223:UOC524409 UXY524223:UXY524409 VHU524223:VHU524409 VRQ524223:VRQ524409 WBM524223:WBM524409 WLI524223:WLI524409 WVE524223:WVE524409 IS589759:IS589945 SO589759:SO589945 ACK589759:ACK589945 AMG589759:AMG589945 AWC589759:AWC589945 BFY589759:BFY589945 BPU589759:BPU589945 BZQ589759:BZQ589945 CJM589759:CJM589945 CTI589759:CTI589945 DDE589759:DDE589945 DNA589759:DNA589945 DWW589759:DWW589945 EGS589759:EGS589945 EQO589759:EQO589945 FAK589759:FAK589945 FKG589759:FKG589945 FUC589759:FUC589945 GDY589759:GDY589945 GNU589759:GNU589945 GXQ589759:GXQ589945 HHM589759:HHM589945 HRI589759:HRI589945 IBE589759:IBE589945 ILA589759:ILA589945 IUW589759:IUW589945 JES589759:JES589945 JOO589759:JOO589945 JYK589759:JYK589945 KIG589759:KIG589945 KSC589759:KSC589945 LBY589759:LBY589945 LLU589759:LLU589945 LVQ589759:LVQ589945 MFM589759:MFM589945 MPI589759:MPI589945 MZE589759:MZE589945 NJA589759:NJA589945 NSW589759:NSW589945 OCS589759:OCS589945 OMO589759:OMO589945 OWK589759:OWK589945 PGG589759:PGG589945 PQC589759:PQC589945 PZY589759:PZY589945 QJU589759:QJU589945 QTQ589759:QTQ589945 RDM589759:RDM589945 RNI589759:RNI589945 RXE589759:RXE589945 SHA589759:SHA589945 SQW589759:SQW589945 TAS589759:TAS589945 TKO589759:TKO589945 TUK589759:TUK589945 UEG589759:UEG589945 UOC589759:UOC589945 UXY589759:UXY589945 VHU589759:VHU589945 VRQ589759:VRQ589945 WBM589759:WBM589945 WLI589759:WLI589945 WVE589759:WVE589945 IS655295:IS655481 SO655295:SO655481 ACK655295:ACK655481 AMG655295:AMG655481 AWC655295:AWC655481 BFY655295:BFY655481 BPU655295:BPU655481 BZQ655295:BZQ655481 CJM655295:CJM655481 CTI655295:CTI655481 DDE655295:DDE655481 DNA655295:DNA655481 DWW655295:DWW655481 EGS655295:EGS655481 EQO655295:EQO655481 FAK655295:FAK655481 FKG655295:FKG655481 FUC655295:FUC655481 GDY655295:GDY655481 GNU655295:GNU655481 GXQ655295:GXQ655481 HHM655295:HHM655481 HRI655295:HRI655481 IBE655295:IBE655481 ILA655295:ILA655481 IUW655295:IUW655481 JES655295:JES655481 JOO655295:JOO655481 JYK655295:JYK655481 KIG655295:KIG655481 KSC655295:KSC655481 LBY655295:LBY655481 LLU655295:LLU655481 LVQ655295:LVQ655481 MFM655295:MFM655481 MPI655295:MPI655481 MZE655295:MZE655481 NJA655295:NJA655481 NSW655295:NSW655481 OCS655295:OCS655481 OMO655295:OMO655481 OWK655295:OWK655481 PGG655295:PGG655481 PQC655295:PQC655481 PZY655295:PZY655481 QJU655295:QJU655481 QTQ655295:QTQ655481 RDM655295:RDM655481 RNI655295:RNI655481 RXE655295:RXE655481 SHA655295:SHA655481 SQW655295:SQW655481 TAS655295:TAS655481 TKO655295:TKO655481 TUK655295:TUK655481 UEG655295:UEG655481 UOC655295:UOC655481 UXY655295:UXY655481 VHU655295:VHU655481 VRQ655295:VRQ655481 WBM655295:WBM655481 WLI655295:WLI655481 WVE655295:WVE655481 IS720831:IS721017 SO720831:SO721017 ACK720831:ACK721017 AMG720831:AMG721017 AWC720831:AWC721017 BFY720831:BFY721017 BPU720831:BPU721017 BZQ720831:BZQ721017 CJM720831:CJM721017 CTI720831:CTI721017 DDE720831:DDE721017 DNA720831:DNA721017 DWW720831:DWW721017 EGS720831:EGS721017 EQO720831:EQO721017 FAK720831:FAK721017 FKG720831:FKG721017 FUC720831:FUC721017 GDY720831:GDY721017 GNU720831:GNU721017 GXQ720831:GXQ721017 HHM720831:HHM721017 HRI720831:HRI721017 IBE720831:IBE721017 ILA720831:ILA721017 IUW720831:IUW721017 JES720831:JES721017 JOO720831:JOO721017 JYK720831:JYK721017 KIG720831:KIG721017 KSC720831:KSC721017 LBY720831:LBY721017 LLU720831:LLU721017 LVQ720831:LVQ721017 MFM720831:MFM721017 MPI720831:MPI721017 MZE720831:MZE721017 NJA720831:NJA721017 NSW720831:NSW721017 OCS720831:OCS721017 OMO720831:OMO721017 OWK720831:OWK721017 PGG720831:PGG721017 PQC720831:PQC721017 PZY720831:PZY721017 QJU720831:QJU721017 QTQ720831:QTQ721017 RDM720831:RDM721017 RNI720831:RNI721017 RXE720831:RXE721017 SHA720831:SHA721017 SQW720831:SQW721017 TAS720831:TAS721017 TKO720831:TKO721017 TUK720831:TUK721017 UEG720831:UEG721017 UOC720831:UOC721017 UXY720831:UXY721017 VHU720831:VHU721017 VRQ720831:VRQ721017 WBM720831:WBM721017 WLI720831:WLI721017 WVE720831:WVE721017 IS786367:IS786553 SO786367:SO786553 ACK786367:ACK786553 AMG786367:AMG786553 AWC786367:AWC786553 BFY786367:BFY786553 BPU786367:BPU786553 BZQ786367:BZQ786553 CJM786367:CJM786553 CTI786367:CTI786553 DDE786367:DDE786553 DNA786367:DNA786553 DWW786367:DWW786553 EGS786367:EGS786553 EQO786367:EQO786553 FAK786367:FAK786553 FKG786367:FKG786553 FUC786367:FUC786553 GDY786367:GDY786553 GNU786367:GNU786553 GXQ786367:GXQ786553 HHM786367:HHM786553 HRI786367:HRI786553 IBE786367:IBE786553 ILA786367:ILA786553 IUW786367:IUW786553 JES786367:JES786553 JOO786367:JOO786553 JYK786367:JYK786553 KIG786367:KIG786553 KSC786367:KSC786553 LBY786367:LBY786553 LLU786367:LLU786553 LVQ786367:LVQ786553 MFM786367:MFM786553 MPI786367:MPI786553 MZE786367:MZE786553 NJA786367:NJA786553 NSW786367:NSW786553 OCS786367:OCS786553 OMO786367:OMO786553 OWK786367:OWK786553 PGG786367:PGG786553 PQC786367:PQC786553 PZY786367:PZY786553 QJU786367:QJU786553 QTQ786367:QTQ786553 RDM786367:RDM786553 RNI786367:RNI786553 RXE786367:RXE786553 SHA786367:SHA786553 SQW786367:SQW786553 TAS786367:TAS786553 TKO786367:TKO786553 TUK786367:TUK786553 UEG786367:UEG786553 UOC786367:UOC786553 UXY786367:UXY786553 VHU786367:VHU786553 VRQ786367:VRQ786553 WBM786367:WBM786553 WLI786367:WLI786553 WVE786367:WVE786553 IS851903:IS852089 SO851903:SO852089 ACK851903:ACK852089 AMG851903:AMG852089 AWC851903:AWC852089 BFY851903:BFY852089 BPU851903:BPU852089 BZQ851903:BZQ852089 CJM851903:CJM852089 CTI851903:CTI852089 DDE851903:DDE852089 DNA851903:DNA852089 DWW851903:DWW852089 EGS851903:EGS852089 EQO851903:EQO852089 FAK851903:FAK852089 FKG851903:FKG852089 FUC851903:FUC852089 GDY851903:GDY852089 GNU851903:GNU852089 GXQ851903:GXQ852089 HHM851903:HHM852089 HRI851903:HRI852089 IBE851903:IBE852089 ILA851903:ILA852089 IUW851903:IUW852089 JES851903:JES852089 JOO851903:JOO852089 JYK851903:JYK852089 KIG851903:KIG852089 KSC851903:KSC852089 LBY851903:LBY852089 LLU851903:LLU852089 LVQ851903:LVQ852089 MFM851903:MFM852089 MPI851903:MPI852089 MZE851903:MZE852089 NJA851903:NJA852089 NSW851903:NSW852089 OCS851903:OCS852089 OMO851903:OMO852089 OWK851903:OWK852089 PGG851903:PGG852089 PQC851903:PQC852089 PZY851903:PZY852089 QJU851903:QJU852089 QTQ851903:QTQ852089 RDM851903:RDM852089 RNI851903:RNI852089 RXE851903:RXE852089 SHA851903:SHA852089 SQW851903:SQW852089 TAS851903:TAS852089 TKO851903:TKO852089 TUK851903:TUK852089 UEG851903:UEG852089 UOC851903:UOC852089 UXY851903:UXY852089 VHU851903:VHU852089 VRQ851903:VRQ852089 WBM851903:WBM852089 WLI851903:WLI852089 WVE851903:WVE852089 IS917439:IS917625 SO917439:SO917625 ACK917439:ACK917625 AMG917439:AMG917625 AWC917439:AWC917625 BFY917439:BFY917625 BPU917439:BPU917625 BZQ917439:BZQ917625 CJM917439:CJM917625 CTI917439:CTI917625 DDE917439:DDE917625 DNA917439:DNA917625 DWW917439:DWW917625 EGS917439:EGS917625 EQO917439:EQO917625 FAK917439:FAK917625 FKG917439:FKG917625 FUC917439:FUC917625 GDY917439:GDY917625 GNU917439:GNU917625 GXQ917439:GXQ917625 HHM917439:HHM917625 HRI917439:HRI917625 IBE917439:IBE917625 ILA917439:ILA917625 IUW917439:IUW917625 JES917439:JES917625 JOO917439:JOO917625 JYK917439:JYK917625 KIG917439:KIG917625 KSC917439:KSC917625 LBY917439:LBY917625 LLU917439:LLU917625 LVQ917439:LVQ917625 MFM917439:MFM917625 MPI917439:MPI917625 MZE917439:MZE917625 NJA917439:NJA917625 NSW917439:NSW917625 OCS917439:OCS917625 OMO917439:OMO917625 OWK917439:OWK917625 PGG917439:PGG917625 PQC917439:PQC917625 PZY917439:PZY917625 QJU917439:QJU917625 QTQ917439:QTQ917625 RDM917439:RDM917625 RNI917439:RNI917625 RXE917439:RXE917625 SHA917439:SHA917625 SQW917439:SQW917625 TAS917439:TAS917625 TKO917439:TKO917625 TUK917439:TUK917625 UEG917439:UEG917625 UOC917439:UOC917625 UXY917439:UXY917625 VHU917439:VHU917625 VRQ917439:VRQ917625 WBM917439:WBM917625 WLI917439:WLI917625 WVE917439:WVE917625 IS982975:IS983161 SO982975:SO983161 ACK982975:ACK983161 AMG982975:AMG983161 AWC982975:AWC983161 BFY982975:BFY983161 BPU982975:BPU983161 BZQ982975:BZQ983161 CJM982975:CJM983161 CTI982975:CTI983161 DDE982975:DDE983161 DNA982975:DNA983161 DWW982975:DWW983161 EGS982975:EGS983161 EQO982975:EQO983161 FAK982975:FAK983161 FKG982975:FKG983161 FUC982975:FUC983161 GDY982975:GDY983161 GNU982975:GNU983161 GXQ982975:GXQ983161 HHM982975:HHM983161 HRI982975:HRI983161 IBE982975:IBE983161 ILA982975:ILA983161 IUW982975:IUW983161 JES982975:JES983161 JOO982975:JOO983161 JYK982975:JYK983161 KIG982975:KIG983161 KSC982975:KSC983161 LBY982975:LBY983161 LLU982975:LLU983161 LVQ982975:LVQ983161 MFM982975:MFM983161 MPI982975:MPI983161 MZE982975:MZE983161 NJA982975:NJA983161 NSW982975:NSW983161 OCS982975:OCS983161 OMO982975:OMO983161 OWK982975:OWK983161 PGG982975:PGG983161 PQC982975:PQC983161 PZY982975:PZY983161 QJU982975:QJU983161 QTQ982975:QTQ983161 RDM982975:RDM983161 RNI982975:RNI983161 RXE982975:RXE983161 SHA982975:SHA983161 SQW982975:SQW983161 TAS982975:TAS983161 TKO982975:TKO983161 TUK982975:TUK983161 UEG982975:UEG983161 UOC982975:UOC983161 UXY982975:UXY983161 VHU982975:VHU983161 VRQ982975:VRQ983161 WBM982975:WBM983161 WLI982975:WLI983161 WVE982975:WVE983161 IS65660:IS65769 SO65660:SO65769 ACK65660:ACK65769 AMG65660:AMG65769 AWC65660:AWC65769 BFY65660:BFY65769 BPU65660:BPU65769 BZQ65660:BZQ65769 CJM65660:CJM65769 CTI65660:CTI65769 DDE65660:DDE65769 DNA65660:DNA65769 DWW65660:DWW65769 EGS65660:EGS65769 EQO65660:EQO65769 FAK65660:FAK65769 FKG65660:FKG65769 FUC65660:FUC65769 GDY65660:GDY65769 GNU65660:GNU65769 GXQ65660:GXQ65769 HHM65660:HHM65769 HRI65660:HRI65769 IBE65660:IBE65769 ILA65660:ILA65769 IUW65660:IUW65769 JES65660:JES65769 JOO65660:JOO65769 JYK65660:JYK65769 KIG65660:KIG65769 KSC65660:KSC65769 LBY65660:LBY65769 LLU65660:LLU65769 LVQ65660:LVQ65769 MFM65660:MFM65769 MPI65660:MPI65769 MZE65660:MZE65769 NJA65660:NJA65769 NSW65660:NSW65769 OCS65660:OCS65769 OMO65660:OMO65769 OWK65660:OWK65769 PGG65660:PGG65769 PQC65660:PQC65769 PZY65660:PZY65769 QJU65660:QJU65769 QTQ65660:QTQ65769 RDM65660:RDM65769 RNI65660:RNI65769 RXE65660:RXE65769 SHA65660:SHA65769 SQW65660:SQW65769 TAS65660:TAS65769 TKO65660:TKO65769 TUK65660:TUK65769 UEG65660:UEG65769 UOC65660:UOC65769 UXY65660:UXY65769 VHU65660:VHU65769 VRQ65660:VRQ65769 WBM65660:WBM65769 WLI65660:WLI65769 WVE65660:WVE65769 IS131196:IS131305 SO131196:SO131305 ACK131196:ACK131305 AMG131196:AMG131305 AWC131196:AWC131305 BFY131196:BFY131305 BPU131196:BPU131305 BZQ131196:BZQ131305 CJM131196:CJM131305 CTI131196:CTI131305 DDE131196:DDE131305 DNA131196:DNA131305 DWW131196:DWW131305 EGS131196:EGS131305 EQO131196:EQO131305 FAK131196:FAK131305 FKG131196:FKG131305 FUC131196:FUC131305 GDY131196:GDY131305 GNU131196:GNU131305 GXQ131196:GXQ131305 HHM131196:HHM131305 HRI131196:HRI131305 IBE131196:IBE131305 ILA131196:ILA131305 IUW131196:IUW131305 JES131196:JES131305 JOO131196:JOO131305 JYK131196:JYK131305 KIG131196:KIG131305 KSC131196:KSC131305 LBY131196:LBY131305 LLU131196:LLU131305 LVQ131196:LVQ131305 MFM131196:MFM131305 MPI131196:MPI131305 MZE131196:MZE131305 NJA131196:NJA131305 NSW131196:NSW131305 OCS131196:OCS131305 OMO131196:OMO131305 OWK131196:OWK131305 PGG131196:PGG131305 PQC131196:PQC131305 PZY131196:PZY131305 QJU131196:QJU131305 QTQ131196:QTQ131305 RDM131196:RDM131305 RNI131196:RNI131305 RXE131196:RXE131305 SHA131196:SHA131305 SQW131196:SQW131305 TAS131196:TAS131305 TKO131196:TKO131305 TUK131196:TUK131305 UEG131196:UEG131305 UOC131196:UOC131305 UXY131196:UXY131305 VHU131196:VHU131305 VRQ131196:VRQ131305 WBM131196:WBM131305 WLI131196:WLI131305 WVE131196:WVE131305 IS196732:IS196841 SO196732:SO196841 ACK196732:ACK196841 AMG196732:AMG196841 AWC196732:AWC196841 BFY196732:BFY196841 BPU196732:BPU196841 BZQ196732:BZQ196841 CJM196732:CJM196841 CTI196732:CTI196841 DDE196732:DDE196841 DNA196732:DNA196841 DWW196732:DWW196841 EGS196732:EGS196841 EQO196732:EQO196841 FAK196732:FAK196841 FKG196732:FKG196841 FUC196732:FUC196841 GDY196732:GDY196841 GNU196732:GNU196841 GXQ196732:GXQ196841 HHM196732:HHM196841 HRI196732:HRI196841 IBE196732:IBE196841 ILA196732:ILA196841 IUW196732:IUW196841 JES196732:JES196841 JOO196732:JOO196841 JYK196732:JYK196841 KIG196732:KIG196841 KSC196732:KSC196841 LBY196732:LBY196841 LLU196732:LLU196841 LVQ196732:LVQ196841 MFM196732:MFM196841 MPI196732:MPI196841 MZE196732:MZE196841 NJA196732:NJA196841 NSW196732:NSW196841 OCS196732:OCS196841 OMO196732:OMO196841 OWK196732:OWK196841 PGG196732:PGG196841 PQC196732:PQC196841 PZY196732:PZY196841 QJU196732:QJU196841 QTQ196732:QTQ196841 RDM196732:RDM196841 RNI196732:RNI196841 RXE196732:RXE196841 SHA196732:SHA196841 SQW196732:SQW196841 TAS196732:TAS196841 TKO196732:TKO196841 TUK196732:TUK196841 UEG196732:UEG196841 UOC196732:UOC196841 UXY196732:UXY196841 VHU196732:VHU196841 VRQ196732:VRQ196841 WBM196732:WBM196841 WLI196732:WLI196841 WVE196732:WVE196841 IS262268:IS262377 SO262268:SO262377 ACK262268:ACK262377 AMG262268:AMG262377 AWC262268:AWC262377 BFY262268:BFY262377 BPU262268:BPU262377 BZQ262268:BZQ262377 CJM262268:CJM262377 CTI262268:CTI262377 DDE262268:DDE262377 DNA262268:DNA262377 DWW262268:DWW262377 EGS262268:EGS262377 EQO262268:EQO262377 FAK262268:FAK262377 FKG262268:FKG262377 FUC262268:FUC262377 GDY262268:GDY262377 GNU262268:GNU262377 GXQ262268:GXQ262377 HHM262268:HHM262377 HRI262268:HRI262377 IBE262268:IBE262377 ILA262268:ILA262377 IUW262268:IUW262377 JES262268:JES262377 JOO262268:JOO262377 JYK262268:JYK262377 KIG262268:KIG262377 KSC262268:KSC262377 LBY262268:LBY262377 LLU262268:LLU262377 LVQ262268:LVQ262377 MFM262268:MFM262377 MPI262268:MPI262377 MZE262268:MZE262377 NJA262268:NJA262377 NSW262268:NSW262377 OCS262268:OCS262377 OMO262268:OMO262377 OWK262268:OWK262377 PGG262268:PGG262377 PQC262268:PQC262377 PZY262268:PZY262377 QJU262268:QJU262377 QTQ262268:QTQ262377 RDM262268:RDM262377 RNI262268:RNI262377 RXE262268:RXE262377 SHA262268:SHA262377 SQW262268:SQW262377 TAS262268:TAS262377 TKO262268:TKO262377 TUK262268:TUK262377 UEG262268:UEG262377 UOC262268:UOC262377 UXY262268:UXY262377 VHU262268:VHU262377 VRQ262268:VRQ262377 WBM262268:WBM262377 WLI262268:WLI262377 WVE262268:WVE262377 IS327804:IS327913 SO327804:SO327913 ACK327804:ACK327913 AMG327804:AMG327913 AWC327804:AWC327913 BFY327804:BFY327913 BPU327804:BPU327913 BZQ327804:BZQ327913 CJM327804:CJM327913 CTI327804:CTI327913 DDE327804:DDE327913 DNA327804:DNA327913 DWW327804:DWW327913 EGS327804:EGS327913 EQO327804:EQO327913 FAK327804:FAK327913 FKG327804:FKG327913 FUC327804:FUC327913 GDY327804:GDY327913 GNU327804:GNU327913 GXQ327804:GXQ327913 HHM327804:HHM327913 HRI327804:HRI327913 IBE327804:IBE327913 ILA327804:ILA327913 IUW327804:IUW327913 JES327804:JES327913 JOO327804:JOO327913 JYK327804:JYK327913 KIG327804:KIG327913 KSC327804:KSC327913 LBY327804:LBY327913 LLU327804:LLU327913 LVQ327804:LVQ327913 MFM327804:MFM327913 MPI327804:MPI327913 MZE327804:MZE327913 NJA327804:NJA327913 NSW327804:NSW327913 OCS327804:OCS327913 OMO327804:OMO327913 OWK327804:OWK327913 PGG327804:PGG327913 PQC327804:PQC327913 PZY327804:PZY327913 QJU327804:QJU327913 QTQ327804:QTQ327913 RDM327804:RDM327913 RNI327804:RNI327913 RXE327804:RXE327913 SHA327804:SHA327913 SQW327804:SQW327913 TAS327804:TAS327913 TKO327804:TKO327913 TUK327804:TUK327913 UEG327804:UEG327913 UOC327804:UOC327913 UXY327804:UXY327913 VHU327804:VHU327913 VRQ327804:VRQ327913 WBM327804:WBM327913 WLI327804:WLI327913 WVE327804:WVE327913 IS393340:IS393449 SO393340:SO393449 ACK393340:ACK393449 AMG393340:AMG393449 AWC393340:AWC393449 BFY393340:BFY393449 BPU393340:BPU393449 BZQ393340:BZQ393449 CJM393340:CJM393449 CTI393340:CTI393449 DDE393340:DDE393449 DNA393340:DNA393449 DWW393340:DWW393449 EGS393340:EGS393449 EQO393340:EQO393449 FAK393340:FAK393449 FKG393340:FKG393449 FUC393340:FUC393449 GDY393340:GDY393449 GNU393340:GNU393449 GXQ393340:GXQ393449 HHM393340:HHM393449 HRI393340:HRI393449 IBE393340:IBE393449 ILA393340:ILA393449 IUW393340:IUW393449 JES393340:JES393449 JOO393340:JOO393449 JYK393340:JYK393449 KIG393340:KIG393449 KSC393340:KSC393449 LBY393340:LBY393449 LLU393340:LLU393449 LVQ393340:LVQ393449 MFM393340:MFM393449 MPI393340:MPI393449 MZE393340:MZE393449 NJA393340:NJA393449 NSW393340:NSW393449 OCS393340:OCS393449 OMO393340:OMO393449 OWK393340:OWK393449 PGG393340:PGG393449 PQC393340:PQC393449 PZY393340:PZY393449 QJU393340:QJU393449 QTQ393340:QTQ393449 RDM393340:RDM393449 RNI393340:RNI393449 RXE393340:RXE393449 SHA393340:SHA393449 SQW393340:SQW393449 TAS393340:TAS393449 TKO393340:TKO393449 TUK393340:TUK393449 UEG393340:UEG393449 UOC393340:UOC393449 UXY393340:UXY393449 VHU393340:VHU393449 VRQ393340:VRQ393449 WBM393340:WBM393449 WLI393340:WLI393449 WVE393340:WVE393449 IS458876:IS458985 SO458876:SO458985 ACK458876:ACK458985 AMG458876:AMG458985 AWC458876:AWC458985 BFY458876:BFY458985 BPU458876:BPU458985 BZQ458876:BZQ458985 CJM458876:CJM458985 CTI458876:CTI458985 DDE458876:DDE458985 DNA458876:DNA458985 DWW458876:DWW458985 EGS458876:EGS458985 EQO458876:EQO458985 FAK458876:FAK458985 FKG458876:FKG458985 FUC458876:FUC458985 GDY458876:GDY458985 GNU458876:GNU458985 GXQ458876:GXQ458985 HHM458876:HHM458985 HRI458876:HRI458985 IBE458876:IBE458985 ILA458876:ILA458985 IUW458876:IUW458985 JES458876:JES458985 JOO458876:JOO458985 JYK458876:JYK458985 KIG458876:KIG458985 KSC458876:KSC458985 LBY458876:LBY458985 LLU458876:LLU458985 LVQ458876:LVQ458985 MFM458876:MFM458985 MPI458876:MPI458985 MZE458876:MZE458985 NJA458876:NJA458985 NSW458876:NSW458985 OCS458876:OCS458985 OMO458876:OMO458985 OWK458876:OWK458985 PGG458876:PGG458985 PQC458876:PQC458985 PZY458876:PZY458985 QJU458876:QJU458985 QTQ458876:QTQ458985 RDM458876:RDM458985 RNI458876:RNI458985 RXE458876:RXE458985 SHA458876:SHA458985 SQW458876:SQW458985 TAS458876:TAS458985 TKO458876:TKO458985 TUK458876:TUK458985 UEG458876:UEG458985 UOC458876:UOC458985 UXY458876:UXY458985 VHU458876:VHU458985 VRQ458876:VRQ458985 WBM458876:WBM458985 WLI458876:WLI458985 WVE458876:WVE458985 IS524412:IS524521 SO524412:SO524521 ACK524412:ACK524521 AMG524412:AMG524521 AWC524412:AWC524521 BFY524412:BFY524521 BPU524412:BPU524521 BZQ524412:BZQ524521 CJM524412:CJM524521 CTI524412:CTI524521 DDE524412:DDE524521 DNA524412:DNA524521 DWW524412:DWW524521 EGS524412:EGS524521 EQO524412:EQO524521 FAK524412:FAK524521 FKG524412:FKG524521 FUC524412:FUC524521 GDY524412:GDY524521 GNU524412:GNU524521 GXQ524412:GXQ524521 HHM524412:HHM524521 HRI524412:HRI524521 IBE524412:IBE524521 ILA524412:ILA524521 IUW524412:IUW524521 JES524412:JES524521 JOO524412:JOO524521 JYK524412:JYK524521 KIG524412:KIG524521 KSC524412:KSC524521 LBY524412:LBY524521 LLU524412:LLU524521 LVQ524412:LVQ524521 MFM524412:MFM524521 MPI524412:MPI524521 MZE524412:MZE524521 NJA524412:NJA524521 NSW524412:NSW524521 OCS524412:OCS524521 OMO524412:OMO524521 OWK524412:OWK524521 PGG524412:PGG524521 PQC524412:PQC524521 PZY524412:PZY524521 QJU524412:QJU524521 QTQ524412:QTQ524521 RDM524412:RDM524521 RNI524412:RNI524521 RXE524412:RXE524521 SHA524412:SHA524521 SQW524412:SQW524521 TAS524412:TAS524521 TKO524412:TKO524521 TUK524412:TUK524521 UEG524412:UEG524521 UOC524412:UOC524521 UXY524412:UXY524521 VHU524412:VHU524521 VRQ524412:VRQ524521 WBM524412:WBM524521 WLI524412:WLI524521 WVE524412:WVE524521 IS589948:IS590057 SO589948:SO590057 ACK589948:ACK590057 AMG589948:AMG590057 AWC589948:AWC590057 BFY589948:BFY590057 BPU589948:BPU590057 BZQ589948:BZQ590057 CJM589948:CJM590057 CTI589948:CTI590057 DDE589948:DDE590057 DNA589948:DNA590057 DWW589948:DWW590057 EGS589948:EGS590057 EQO589948:EQO590057 FAK589948:FAK590057 FKG589948:FKG590057 FUC589948:FUC590057 GDY589948:GDY590057 GNU589948:GNU590057 GXQ589948:GXQ590057 HHM589948:HHM590057 HRI589948:HRI590057 IBE589948:IBE590057 ILA589948:ILA590057 IUW589948:IUW590057 JES589948:JES590057 JOO589948:JOO590057 JYK589948:JYK590057 KIG589948:KIG590057 KSC589948:KSC590057 LBY589948:LBY590057 LLU589948:LLU590057 LVQ589948:LVQ590057 MFM589948:MFM590057 MPI589948:MPI590057 MZE589948:MZE590057 NJA589948:NJA590057 NSW589948:NSW590057 OCS589948:OCS590057 OMO589948:OMO590057 OWK589948:OWK590057 PGG589948:PGG590057 PQC589948:PQC590057 PZY589948:PZY590057 QJU589948:QJU590057 QTQ589948:QTQ590057 RDM589948:RDM590057 RNI589948:RNI590057 RXE589948:RXE590057 SHA589948:SHA590057 SQW589948:SQW590057 TAS589948:TAS590057 TKO589948:TKO590057 TUK589948:TUK590057 UEG589948:UEG590057 UOC589948:UOC590057 UXY589948:UXY590057 VHU589948:VHU590057 VRQ589948:VRQ590057 WBM589948:WBM590057 WLI589948:WLI590057 WVE589948:WVE590057 IS655484:IS655593 SO655484:SO655593 ACK655484:ACK655593 AMG655484:AMG655593 AWC655484:AWC655593 BFY655484:BFY655593 BPU655484:BPU655593 BZQ655484:BZQ655593 CJM655484:CJM655593 CTI655484:CTI655593 DDE655484:DDE655593 DNA655484:DNA655593 DWW655484:DWW655593 EGS655484:EGS655593 EQO655484:EQO655593 FAK655484:FAK655593 FKG655484:FKG655593 FUC655484:FUC655593 GDY655484:GDY655593 GNU655484:GNU655593 GXQ655484:GXQ655593 HHM655484:HHM655593 HRI655484:HRI655593 IBE655484:IBE655593 ILA655484:ILA655593 IUW655484:IUW655593 JES655484:JES655593 JOO655484:JOO655593 JYK655484:JYK655593 KIG655484:KIG655593 KSC655484:KSC655593 LBY655484:LBY655593 LLU655484:LLU655593 LVQ655484:LVQ655593 MFM655484:MFM655593 MPI655484:MPI655593 MZE655484:MZE655593 NJA655484:NJA655593 NSW655484:NSW655593 OCS655484:OCS655593 OMO655484:OMO655593 OWK655484:OWK655593 PGG655484:PGG655593 PQC655484:PQC655593 PZY655484:PZY655593 QJU655484:QJU655593 QTQ655484:QTQ655593 RDM655484:RDM655593 RNI655484:RNI655593 RXE655484:RXE655593 SHA655484:SHA655593 SQW655484:SQW655593 TAS655484:TAS655593 TKO655484:TKO655593 TUK655484:TUK655593 UEG655484:UEG655593 UOC655484:UOC655593 UXY655484:UXY655593 VHU655484:VHU655593 VRQ655484:VRQ655593 WBM655484:WBM655593 WLI655484:WLI655593 WVE655484:WVE655593 IS721020:IS721129 SO721020:SO721129 ACK721020:ACK721129 AMG721020:AMG721129 AWC721020:AWC721129 BFY721020:BFY721129 BPU721020:BPU721129 BZQ721020:BZQ721129 CJM721020:CJM721129 CTI721020:CTI721129 DDE721020:DDE721129 DNA721020:DNA721129 DWW721020:DWW721129 EGS721020:EGS721129 EQO721020:EQO721129 FAK721020:FAK721129 FKG721020:FKG721129 FUC721020:FUC721129 GDY721020:GDY721129 GNU721020:GNU721129 GXQ721020:GXQ721129 HHM721020:HHM721129 HRI721020:HRI721129 IBE721020:IBE721129 ILA721020:ILA721129 IUW721020:IUW721129 JES721020:JES721129 JOO721020:JOO721129 JYK721020:JYK721129 KIG721020:KIG721129 KSC721020:KSC721129 LBY721020:LBY721129 LLU721020:LLU721129 LVQ721020:LVQ721129 MFM721020:MFM721129 MPI721020:MPI721129 MZE721020:MZE721129 NJA721020:NJA721129 NSW721020:NSW721129 OCS721020:OCS721129 OMO721020:OMO721129 OWK721020:OWK721129 PGG721020:PGG721129 PQC721020:PQC721129 PZY721020:PZY721129 QJU721020:QJU721129 QTQ721020:QTQ721129 RDM721020:RDM721129 RNI721020:RNI721129 RXE721020:RXE721129 SHA721020:SHA721129 SQW721020:SQW721129 TAS721020:TAS721129 TKO721020:TKO721129 TUK721020:TUK721129 UEG721020:UEG721129 UOC721020:UOC721129 UXY721020:UXY721129 VHU721020:VHU721129 VRQ721020:VRQ721129 WBM721020:WBM721129 WLI721020:WLI721129 WVE721020:WVE721129 IS786556:IS786665 SO786556:SO786665 ACK786556:ACK786665 AMG786556:AMG786665 AWC786556:AWC786665 BFY786556:BFY786665 BPU786556:BPU786665 BZQ786556:BZQ786665 CJM786556:CJM786665 CTI786556:CTI786665 DDE786556:DDE786665 DNA786556:DNA786665 DWW786556:DWW786665 EGS786556:EGS786665 EQO786556:EQO786665 FAK786556:FAK786665 FKG786556:FKG786665 FUC786556:FUC786665 GDY786556:GDY786665 GNU786556:GNU786665 GXQ786556:GXQ786665 HHM786556:HHM786665 HRI786556:HRI786665 IBE786556:IBE786665 ILA786556:ILA786665 IUW786556:IUW786665 JES786556:JES786665 JOO786556:JOO786665 JYK786556:JYK786665 KIG786556:KIG786665 KSC786556:KSC786665 LBY786556:LBY786665 LLU786556:LLU786665 LVQ786556:LVQ786665 MFM786556:MFM786665 MPI786556:MPI786665 MZE786556:MZE786665 NJA786556:NJA786665 NSW786556:NSW786665 OCS786556:OCS786665 OMO786556:OMO786665 OWK786556:OWK786665 PGG786556:PGG786665 PQC786556:PQC786665 PZY786556:PZY786665 QJU786556:QJU786665 QTQ786556:QTQ786665 RDM786556:RDM786665 RNI786556:RNI786665 RXE786556:RXE786665 SHA786556:SHA786665 SQW786556:SQW786665 TAS786556:TAS786665 TKO786556:TKO786665 TUK786556:TUK786665 UEG786556:UEG786665 UOC786556:UOC786665 UXY786556:UXY786665 VHU786556:VHU786665 VRQ786556:VRQ786665 WBM786556:WBM786665 WLI786556:WLI786665 WVE786556:WVE786665 IS852092:IS852201 SO852092:SO852201 ACK852092:ACK852201 AMG852092:AMG852201 AWC852092:AWC852201 BFY852092:BFY852201 BPU852092:BPU852201 BZQ852092:BZQ852201 CJM852092:CJM852201 CTI852092:CTI852201 DDE852092:DDE852201 DNA852092:DNA852201 DWW852092:DWW852201 EGS852092:EGS852201 EQO852092:EQO852201 FAK852092:FAK852201 FKG852092:FKG852201 FUC852092:FUC852201 GDY852092:GDY852201 GNU852092:GNU852201 GXQ852092:GXQ852201 HHM852092:HHM852201 HRI852092:HRI852201 IBE852092:IBE852201 ILA852092:ILA852201 IUW852092:IUW852201 JES852092:JES852201 JOO852092:JOO852201 JYK852092:JYK852201 KIG852092:KIG852201 KSC852092:KSC852201 LBY852092:LBY852201 LLU852092:LLU852201 LVQ852092:LVQ852201 MFM852092:MFM852201 MPI852092:MPI852201 MZE852092:MZE852201 NJA852092:NJA852201 NSW852092:NSW852201 OCS852092:OCS852201 OMO852092:OMO852201 OWK852092:OWK852201 PGG852092:PGG852201 PQC852092:PQC852201 PZY852092:PZY852201 QJU852092:QJU852201 QTQ852092:QTQ852201 RDM852092:RDM852201 RNI852092:RNI852201 RXE852092:RXE852201 SHA852092:SHA852201 SQW852092:SQW852201 TAS852092:TAS852201 TKO852092:TKO852201 TUK852092:TUK852201 UEG852092:UEG852201 UOC852092:UOC852201 UXY852092:UXY852201 VHU852092:VHU852201 VRQ852092:VRQ852201 WBM852092:WBM852201 WLI852092:WLI852201 WVE852092:WVE852201 IS917628:IS917737 SO917628:SO917737 ACK917628:ACK917737 AMG917628:AMG917737 AWC917628:AWC917737 BFY917628:BFY917737 BPU917628:BPU917737 BZQ917628:BZQ917737 CJM917628:CJM917737 CTI917628:CTI917737 DDE917628:DDE917737 DNA917628:DNA917737 DWW917628:DWW917737 EGS917628:EGS917737 EQO917628:EQO917737 FAK917628:FAK917737 FKG917628:FKG917737 FUC917628:FUC917737 GDY917628:GDY917737 GNU917628:GNU917737 GXQ917628:GXQ917737 HHM917628:HHM917737 HRI917628:HRI917737 IBE917628:IBE917737 ILA917628:ILA917737 IUW917628:IUW917737 JES917628:JES917737 JOO917628:JOO917737 JYK917628:JYK917737 KIG917628:KIG917737 KSC917628:KSC917737 LBY917628:LBY917737 LLU917628:LLU917737 LVQ917628:LVQ917737 MFM917628:MFM917737 MPI917628:MPI917737 MZE917628:MZE917737 NJA917628:NJA917737 NSW917628:NSW917737 OCS917628:OCS917737 OMO917628:OMO917737 OWK917628:OWK917737 PGG917628:PGG917737 PQC917628:PQC917737 PZY917628:PZY917737 QJU917628:QJU917737 QTQ917628:QTQ917737 RDM917628:RDM917737 RNI917628:RNI917737 RXE917628:RXE917737 SHA917628:SHA917737 SQW917628:SQW917737 TAS917628:TAS917737 TKO917628:TKO917737 TUK917628:TUK917737 UEG917628:UEG917737 UOC917628:UOC917737 UXY917628:UXY917737 VHU917628:VHU917737 VRQ917628:VRQ917737 WBM917628:WBM917737 WLI917628:WLI917737 WVE917628:WVE917737 IS983164:IS983273 SO983164:SO983273 ACK983164:ACK983273 AMG983164:AMG983273 AWC983164:AWC983273 BFY983164:BFY983273 BPU983164:BPU983273 BZQ983164:BZQ983273 CJM983164:CJM983273 CTI983164:CTI983273 DDE983164:DDE983273 DNA983164:DNA983273 DWW983164:DWW983273 EGS983164:EGS983273 EQO983164:EQO983273 FAK983164:FAK983273 FKG983164:FKG983273 FUC983164:FUC983273 GDY983164:GDY983273 GNU983164:GNU983273 GXQ983164:GXQ983273 HHM983164:HHM983273 HRI983164:HRI983273 IBE983164:IBE983273 ILA983164:ILA983273 IUW983164:IUW983273 JES983164:JES983273 JOO983164:JOO983273 JYK983164:JYK983273 KIG983164:KIG983273 KSC983164:KSC983273 LBY983164:LBY983273 LLU983164:LLU983273 LVQ983164:LVQ983273 MFM983164:MFM983273 MPI983164:MPI983273 MZE983164:MZE983273 NJA983164:NJA983273 NSW983164:NSW983273 OCS983164:OCS983273 OMO983164:OMO983273 OWK983164:OWK983273 PGG983164:PGG983273 PQC983164:PQC983273 PZY983164:PZY983273 QJU983164:QJU983273 QTQ983164:QTQ983273 RDM983164:RDM983273 RNI983164:RNI983273 RXE983164:RXE983273 SHA983164:SHA983273 SQW983164:SQW983273 TAS983164:TAS983273 TKO983164:TKO983273 TUK983164:TUK983273 UEG983164:UEG983273 UOC983164:UOC983273 UXY983164:UXY983273 VHU983164:VHU983273 VRQ983164:VRQ983273 WBM983164:WBM983273 WLI983164:WLI983273 WVE983164:WVE983273 IS9:IS31 SO9:SO31 ACK9:ACK31 AMG9:AMG31 AWC9:AWC31 BFY9:BFY31 BPU9:BPU31 BZQ9:BZQ31 CJM9:CJM31 CTI9:CTI31 DDE9:DDE31 DNA9:DNA31 DWW9:DWW31 EGS9:EGS31 EQO9:EQO31 FAK9:FAK31 FKG9:FKG31 FUC9:FUC31 GDY9:GDY31 GNU9:GNU31 GXQ9:GXQ31 HHM9:HHM31 HRI9:HRI31 IBE9:IBE31 ILA9:ILA31 IUW9:IUW31 JES9:JES31 JOO9:JOO31 JYK9:JYK31 KIG9:KIG31 KSC9:KSC31 LBY9:LBY31 LLU9:LLU31 LVQ9:LVQ31 MFM9:MFM31 MPI9:MPI31 MZE9:MZE31 NJA9:NJA31 NSW9:NSW31 OCS9:OCS31 OMO9:OMO31 OWK9:OWK31 PGG9:PGG31 PQC9:PQC31 PZY9:PZY31 QJU9:QJU31 QTQ9:QTQ31 RDM9:RDM31 RNI9:RNI31 RXE9:RXE31 SHA9:SHA31 SQW9:SQW31 TAS9:TAS31 TKO9:TKO31 TUK9:TUK31 UEG9:UEG31 UOC9:UOC31 UXY9:UXY31 VHU9:VHU31 VRQ9:VRQ31 WBM9:WBM31 WLI9:WLI31 WVE9:WVE31 IW179:IW189 SS179:SS189 ACO179:ACO189 AMK179:AMK189 AWG179:AWG189 BGC179:BGC189 BPY179:BPY189 BZU179:BZU189 CJQ179:CJQ189 CTM179:CTM189 DDI179:DDI189 DNE179:DNE189 DXA179:DXA189 EGW179:EGW189 EQS179:EQS189 FAO179:FAO189 FKK179:FKK189 FUG179:FUG189 GEC179:GEC189 GNY179:GNY189 GXU179:GXU189 HHQ179:HHQ189 HRM179:HRM189 IBI179:IBI189 ILE179:ILE189 IVA179:IVA189 JEW179:JEW189 JOS179:JOS189 JYO179:JYO189 KIK179:KIK189 KSG179:KSG189 LCC179:LCC189 LLY179:LLY189 LVU179:LVU189 MFQ179:MFQ189 MPM179:MPM189 MZI179:MZI189 NJE179:NJE189 NTA179:NTA189 OCW179:OCW189 OMS179:OMS189 OWO179:OWO189 PGK179:PGK189 PQG179:PQG189 QAC179:QAC189 QJY179:QJY189 QTU179:QTU189 RDQ179:RDQ189 RNM179:RNM189 RXI179:RXI189 SHE179:SHE189 SRA179:SRA189 TAW179:TAW189 TKS179:TKS189 TUO179:TUO189 UEK179:UEK189 UOG179:UOG189 UYC179:UYC189 VHY179:VHY189 VRU179:VRU189 WBQ179:WBQ189 WLM179:WLM189 WVI179:WVI189 WVE33:WVE90 WLI33:WLI90 WBM33:WBM90 VRQ33:VRQ90 VHU33:VHU90 UXY33:UXY90 UOC33:UOC90 UEG33:UEG90 TUK33:TUK90 TKO33:TKO90 TAS33:TAS90 SQW33:SQW90 SHA33:SHA90 RXE33:RXE90 RNI33:RNI90 RDM33:RDM90 QTQ33:QTQ90 QJU33:QJU90 PZY33:PZY90 PQC33:PQC90 PGG33:PGG90 OWK33:OWK90 OMO33:OMO90 OCS33:OCS90 NSW33:NSW90 NJA33:NJA90 MZE33:MZE90 MPI33:MPI90 MFM33:MFM90 LVQ33:LVQ90 LLU33:LLU90 LBY33:LBY90 KSC33:KSC90 KIG33:KIG90 JYK33:JYK90 JOO33:JOO90 JES33:JES90 IUW33:IUW90 ILA33:ILA90 IBE33:IBE90 HRI33:HRI90 HHM33:HHM90 GXQ33:GXQ90 GNU33:GNU90 GDY33:GDY90 FUC33:FUC90 FKG33:FKG90 FAK33:FAK90 EQO33:EQO90 EGS33:EGS90 DWW33:DWW90 DNA33:DNA90 DDE33:DDE90 CTI33:CTI90 CJM33:CJM90 BZQ33:BZQ90 BPU33:BPU90 BFY33:BFY90 AWC33:AWC90 AMG33:AMG90 ACK33:ACK90 SO33:SO90 IS33:IS90 WVE92:WVE178 WLI92:WLI178 WBM92:WBM178 VRQ92:VRQ178 VHU92:VHU178 UXY92:UXY178 UOC92:UOC178 UEG92:UEG178 TUK92:TUK178 TKO92:TKO178 TAS92:TAS178 SQW92:SQW178 SHA92:SHA178 RXE92:RXE178 RNI92:RNI178 RDM92:RDM178 QTQ92:QTQ178 QJU92:QJU178 PZY92:PZY178 PQC92:PQC178 PGG92:PGG178 OWK92:OWK178 OMO92:OMO178 OCS92:OCS178 NSW92:NSW178 NJA92:NJA178 MZE92:MZE178 MPI92:MPI178 MFM92:MFM178 LVQ92:LVQ178 LLU92:LLU178 LBY92:LBY178 KSC92:KSC178 KIG92:KIG178 JYK92:JYK178 JOO92:JOO178 JES92:JES178 IUW92:IUW178 ILA92:ILA178 IBE92:IBE178 HRI92:HRI178 HHM92:HHM178 GXQ92:GXQ178 GNU92:GNU178 GDY92:GDY178 FUC92:FUC178 FKG92:FKG178 FAK92:FAK178 EQO92:EQO178 EGS92:EGS178 DWW92:DWW178 DNA92:DNA178 DDE92:DDE178 CTI92:CTI178 CJM92:CJM178 BZQ92:BZQ178 BPU92:BPU178 BFY92:BFY178 AWC92:AWC178 AMG92:AMG178 ACK92:ACK178 SO92:SO178 IS92:IS178 WVE190:WVE298 WLI190:WLI298 WBM190:WBM298 VRQ190:VRQ298 VHU190:VHU298 UXY190:UXY298 UOC190:UOC298 UEG190:UEG298 TUK190:TUK298 TKO190:TKO298 TAS190:TAS298 SQW190:SQW298 SHA190:SHA298 RXE190:RXE298 RNI190:RNI298 RDM190:RDM298 QTQ190:QTQ298 QJU190:QJU298 PZY190:PZY298 PQC190:PQC298 PGG190:PGG298 OWK190:OWK298 OMO190:OMO298 OCS190:OCS298 NSW190:NSW298 NJA190:NJA298 MZE190:MZE298 MPI190:MPI298 MFM190:MFM298 LVQ190:LVQ298 LLU190:LLU298 LBY190:LBY298 KSC190:KSC298 KIG190:KIG298 JYK190:JYK298 JOO190:JOO298 JES190:JES298 IUW190:IUW298 ILA190:ILA298 IBE190:IBE298 HRI190:HRI298 HHM190:HHM298 GXQ190:GXQ298 GNU190:GNU298 GDY190:GDY298 FUC190:FUC298 FKG190:FKG298 FAK190:FAK298 EQO190:EQO298 EGS190:EGS298 DWW190:DWW298 DNA190:DNA298 DDE190:DDE298 CTI190:CTI298 CJM190:CJM298 BZQ190:BZQ298 BPU190:BPU298 BFY190:BFY298 AWC190:AWC298 AMG190:AMG298 ACK190:ACK298 SO190:SO298 IS190:IS298"/>
  </dataValidations>
  <pageMargins left="0.7" right="0.7" top="0.75" bottom="0.75" header="0.3" footer="0.3"/>
  <pageSetup scale="54" fitToHeight="0" orientation="portrait" r:id="rId1"/>
  <headerFooter alignWithMargins="0">
    <oddFooter>&amp;L&amp;A&amp;R&amp;P de &amp;N</oddFooter>
  </headerFooter>
  <rowBreaks count="1" manualBreakCount="1">
    <brk id="21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38"/>
  <sheetViews>
    <sheetView view="pageBreakPreview" topLeftCell="A13" zoomScale="80" zoomScaleNormal="80" zoomScaleSheetLayoutView="80" workbookViewId="0">
      <selection activeCell="B12" sqref="B12"/>
    </sheetView>
  </sheetViews>
  <sheetFormatPr baseColWidth="10" defaultColWidth="11.42578125" defaultRowHeight="15" x14ac:dyDescent="0.25"/>
  <cols>
    <col min="1" max="1" width="7.140625" customWidth="1"/>
    <col min="2" max="2" width="46.5703125" customWidth="1"/>
    <col min="3" max="3" width="16.7109375" customWidth="1"/>
    <col min="4" max="4" width="20" bestFit="1" customWidth="1"/>
  </cols>
  <sheetData>
    <row r="6" spans="1:4" s="13" customFormat="1" ht="18.75" x14ac:dyDescent="0.3">
      <c r="A6" s="84" t="s">
        <v>392</v>
      </c>
      <c r="B6" s="84"/>
      <c r="C6" s="84"/>
      <c r="D6" s="84"/>
    </row>
    <row r="8" spans="1:4" ht="15" customHeight="1" x14ac:dyDescent="0.25">
      <c r="A8" s="82" t="s">
        <v>36</v>
      </c>
      <c r="B8" s="82"/>
      <c r="C8" s="82"/>
      <c r="D8" s="82"/>
    </row>
    <row r="9" spans="1:4" ht="15" customHeight="1" x14ac:dyDescent="0.25">
      <c r="A9" s="83"/>
      <c r="B9" s="83"/>
      <c r="C9" s="83"/>
      <c r="D9" s="83"/>
    </row>
    <row r="10" spans="1:4" ht="22.5" customHeight="1" x14ac:dyDescent="0.25">
      <c r="A10" s="2" t="s">
        <v>324</v>
      </c>
      <c r="B10" s="2" t="s">
        <v>12</v>
      </c>
      <c r="C10" s="2" t="s">
        <v>13</v>
      </c>
      <c r="D10" s="2" t="s">
        <v>402</v>
      </c>
    </row>
    <row r="11" spans="1:4" x14ac:dyDescent="0.25">
      <c r="A11" s="10">
        <v>1</v>
      </c>
      <c r="B11" s="3" t="s">
        <v>34</v>
      </c>
      <c r="C11" s="4">
        <f>8.23*5.56</f>
        <v>45.758800000000001</v>
      </c>
      <c r="D11" s="5">
        <v>98557.74</v>
      </c>
    </row>
    <row r="12" spans="1:4" x14ac:dyDescent="0.25">
      <c r="A12" s="10">
        <v>2</v>
      </c>
      <c r="B12" s="3" t="s">
        <v>33</v>
      </c>
      <c r="C12" s="4">
        <f>1.59*5.14</f>
        <v>8.1725999999999992</v>
      </c>
      <c r="D12" s="5">
        <v>46167.65</v>
      </c>
    </row>
    <row r="13" spans="1:4" x14ac:dyDescent="0.25">
      <c r="A13" s="10">
        <v>3</v>
      </c>
      <c r="B13" s="3" t="s">
        <v>397</v>
      </c>
      <c r="C13" s="4">
        <f>6*10</f>
        <v>60</v>
      </c>
      <c r="D13" s="5">
        <v>104878.68000000001</v>
      </c>
    </row>
    <row r="14" spans="1:4" x14ac:dyDescent="0.25">
      <c r="A14" s="10">
        <v>4</v>
      </c>
      <c r="B14" s="3" t="s">
        <v>356</v>
      </c>
      <c r="C14" s="4">
        <v>60</v>
      </c>
      <c r="D14" s="5">
        <v>104878.68000000001</v>
      </c>
    </row>
    <row r="15" spans="1:4" x14ac:dyDescent="0.25">
      <c r="A15" s="9">
        <f>+A14</f>
        <v>4</v>
      </c>
      <c r="D15" s="6">
        <f>SUM(D11:D14)</f>
        <v>354482.75</v>
      </c>
    </row>
    <row r="17" spans="1:4" ht="15" customHeight="1" x14ac:dyDescent="0.25">
      <c r="A17" s="82" t="s">
        <v>71</v>
      </c>
      <c r="B17" s="82"/>
      <c r="C17" s="82"/>
      <c r="D17" s="82"/>
    </row>
    <row r="18" spans="1:4" ht="15" customHeight="1" x14ac:dyDescent="0.25">
      <c r="A18" s="83"/>
      <c r="B18" s="83"/>
      <c r="C18" s="83"/>
      <c r="D18" s="83"/>
    </row>
    <row r="19" spans="1:4" ht="22.5" customHeight="1" x14ac:dyDescent="0.25">
      <c r="A19" s="2" t="s">
        <v>324</v>
      </c>
      <c r="B19" s="2" t="s">
        <v>12</v>
      </c>
      <c r="C19" s="2" t="s">
        <v>13</v>
      </c>
      <c r="D19" s="2" t="s">
        <v>402</v>
      </c>
    </row>
    <row r="20" spans="1:4" x14ac:dyDescent="0.25">
      <c r="A20" s="10">
        <v>1</v>
      </c>
      <c r="B20" s="3" t="s">
        <v>72</v>
      </c>
      <c r="C20" s="4">
        <f>4.22*8.37</f>
        <v>35.321399999999997</v>
      </c>
      <c r="D20" s="5">
        <v>98557.74</v>
      </c>
    </row>
    <row r="21" spans="1:4" x14ac:dyDescent="0.25">
      <c r="A21" s="10">
        <v>2</v>
      </c>
      <c r="B21" s="3" t="s">
        <v>73</v>
      </c>
      <c r="C21" s="4">
        <v>30</v>
      </c>
      <c r="D21" s="5">
        <v>84738.430000000008</v>
      </c>
    </row>
    <row r="22" spans="1:4" x14ac:dyDescent="0.25">
      <c r="A22" s="10">
        <v>3</v>
      </c>
      <c r="B22" s="3" t="s">
        <v>74</v>
      </c>
      <c r="C22" s="4">
        <v>30</v>
      </c>
      <c r="D22" s="5">
        <v>84738.430000000008</v>
      </c>
    </row>
    <row r="23" spans="1:4" x14ac:dyDescent="0.25">
      <c r="A23" s="10">
        <v>4</v>
      </c>
      <c r="B23" s="3" t="s">
        <v>75</v>
      </c>
      <c r="C23" s="4">
        <f>5.54*7.8</f>
        <v>43.211999999999996</v>
      </c>
      <c r="D23" s="5">
        <v>98557.74</v>
      </c>
    </row>
    <row r="24" spans="1:4" x14ac:dyDescent="0.25">
      <c r="A24" s="8">
        <f>+A23</f>
        <v>4</v>
      </c>
      <c r="D24" s="6">
        <f>SUM(D20:D23)</f>
        <v>366592.34</v>
      </c>
    </row>
    <row r="26" spans="1:4" ht="15" customHeight="1" x14ac:dyDescent="0.25">
      <c r="A26" s="82" t="s">
        <v>154</v>
      </c>
      <c r="B26" s="82"/>
      <c r="C26" s="82"/>
      <c r="D26" s="82"/>
    </row>
    <row r="27" spans="1:4" ht="15" customHeight="1" x14ac:dyDescent="0.25">
      <c r="A27" s="83"/>
      <c r="B27" s="83"/>
      <c r="C27" s="83"/>
      <c r="D27" s="83"/>
    </row>
    <row r="28" spans="1:4" ht="22.5" customHeight="1" x14ac:dyDescent="0.25">
      <c r="A28" s="2" t="s">
        <v>324</v>
      </c>
      <c r="B28" s="2" t="s">
        <v>12</v>
      </c>
      <c r="C28" s="2" t="s">
        <v>13</v>
      </c>
      <c r="D28" s="2" t="s">
        <v>402</v>
      </c>
    </row>
    <row r="29" spans="1:4" x14ac:dyDescent="0.25">
      <c r="A29" s="10">
        <v>1</v>
      </c>
      <c r="B29" s="3" t="s">
        <v>155</v>
      </c>
      <c r="C29" s="4">
        <v>35</v>
      </c>
      <c r="D29" s="5">
        <v>98557.74</v>
      </c>
    </row>
    <row r="30" spans="1:4" ht="14.25" customHeight="1" x14ac:dyDescent="0.25">
      <c r="A30" s="10">
        <v>2</v>
      </c>
      <c r="B30" s="3" t="s">
        <v>337</v>
      </c>
      <c r="C30" s="4">
        <f>4.4*2.45</f>
        <v>10.780000000000001</v>
      </c>
      <c r="D30" s="5">
        <v>46167.65</v>
      </c>
    </row>
    <row r="31" spans="1:4" x14ac:dyDescent="0.25">
      <c r="A31" s="10">
        <v>3</v>
      </c>
      <c r="B31" s="3" t="s">
        <v>156</v>
      </c>
      <c r="C31" s="4">
        <f>4.38*3.52</f>
        <v>15.4176</v>
      </c>
      <c r="D31" s="5">
        <v>56480.11</v>
      </c>
    </row>
    <row r="32" spans="1:4" x14ac:dyDescent="0.25">
      <c r="A32" s="10">
        <v>4</v>
      </c>
      <c r="B32" s="3" t="s">
        <v>157</v>
      </c>
      <c r="C32" s="4">
        <v>60</v>
      </c>
      <c r="D32" s="5">
        <v>104878.68000000001</v>
      </c>
    </row>
    <row r="33" spans="1:4" x14ac:dyDescent="0.25">
      <c r="A33" s="10">
        <v>5</v>
      </c>
      <c r="B33" s="3" t="s">
        <v>158</v>
      </c>
      <c r="C33" s="4">
        <v>42</v>
      </c>
      <c r="D33" s="5">
        <v>98557.74</v>
      </c>
    </row>
    <row r="34" spans="1:4" x14ac:dyDescent="0.25">
      <c r="A34" s="10">
        <v>6</v>
      </c>
      <c r="B34" s="3" t="s">
        <v>159</v>
      </c>
      <c r="C34" s="4">
        <v>35</v>
      </c>
      <c r="D34" s="5">
        <v>98557.74</v>
      </c>
    </row>
    <row r="35" spans="1:4" x14ac:dyDescent="0.25">
      <c r="A35" s="10">
        <v>7</v>
      </c>
      <c r="B35" s="3" t="s">
        <v>160</v>
      </c>
      <c r="C35" s="4">
        <v>35</v>
      </c>
      <c r="D35" s="5">
        <v>98557.74</v>
      </c>
    </row>
    <row r="36" spans="1:4" x14ac:dyDescent="0.25">
      <c r="A36" s="8">
        <f>+A35</f>
        <v>7</v>
      </c>
      <c r="D36" s="6">
        <f>SUM(D29:D35)</f>
        <v>601757.4</v>
      </c>
    </row>
    <row r="37" spans="1:4" x14ac:dyDescent="0.25">
      <c r="A37" s="12"/>
    </row>
    <row r="38" spans="1:4" x14ac:dyDescent="0.25">
      <c r="A38" s="9">
        <f>+A15+A24+A36</f>
        <v>15</v>
      </c>
      <c r="D38" s="6">
        <f>+D15+D24+D36</f>
        <v>1322832.4900000002</v>
      </c>
    </row>
  </sheetData>
  <mergeCells count="4">
    <mergeCell ref="A17:D18"/>
    <mergeCell ref="A26:D27"/>
    <mergeCell ref="A8:D9"/>
    <mergeCell ref="A6:D6"/>
  </mergeCells>
  <pageMargins left="0.7" right="0.7" top="0.75" bottom="0.75" header="0.3" footer="0.3"/>
  <pageSetup orientation="portrait" r:id="rId1"/>
  <headerFooter>
    <oddFooter>&amp;RPrecios Mantenimiento Zona II</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57"/>
  <sheetViews>
    <sheetView view="pageBreakPreview" topLeftCell="A13" zoomScale="80" zoomScaleNormal="80" zoomScaleSheetLayoutView="80" workbookViewId="0">
      <selection activeCell="B32" sqref="B32"/>
    </sheetView>
  </sheetViews>
  <sheetFormatPr baseColWidth="10" defaultColWidth="11.42578125" defaultRowHeight="15" x14ac:dyDescent="0.25"/>
  <cols>
    <col min="1" max="1" width="7.140625" customWidth="1"/>
    <col min="2" max="2" width="47.42578125" customWidth="1"/>
    <col min="3" max="3" width="15.140625" customWidth="1"/>
    <col min="4" max="4" width="20" bestFit="1" customWidth="1"/>
  </cols>
  <sheetData>
    <row r="6" spans="1:4" ht="18.75" x14ac:dyDescent="0.3">
      <c r="A6" s="85" t="s">
        <v>391</v>
      </c>
      <c r="B6" s="86"/>
      <c r="C6" s="86"/>
      <c r="D6" s="87"/>
    </row>
    <row r="8" spans="1:4" ht="15" customHeight="1" x14ac:dyDescent="0.25">
      <c r="A8" s="82" t="s">
        <v>121</v>
      </c>
      <c r="B8" s="82"/>
      <c r="C8" s="82"/>
      <c r="D8" s="82"/>
    </row>
    <row r="9" spans="1:4" ht="15" customHeight="1" x14ac:dyDescent="0.25">
      <c r="A9" s="83"/>
      <c r="B9" s="83"/>
      <c r="C9" s="83"/>
      <c r="D9" s="83"/>
    </row>
    <row r="10" spans="1:4" ht="22.5" customHeight="1" x14ac:dyDescent="0.25">
      <c r="A10" s="2" t="s">
        <v>324</v>
      </c>
      <c r="B10" s="2" t="s">
        <v>12</v>
      </c>
      <c r="C10" s="2" t="s">
        <v>13</v>
      </c>
      <c r="D10" s="2" t="s">
        <v>402</v>
      </c>
    </row>
    <row r="11" spans="1:4" x14ac:dyDescent="0.25">
      <c r="A11" s="10">
        <v>1</v>
      </c>
      <c r="B11" s="3" t="s">
        <v>117</v>
      </c>
      <c r="C11" s="4">
        <f>4.15*4.15</f>
        <v>17.222500000000004</v>
      </c>
      <c r="D11" s="5">
        <v>56480.11</v>
      </c>
    </row>
    <row r="12" spans="1:4" ht="14.25" customHeight="1" x14ac:dyDescent="0.25">
      <c r="A12" s="10">
        <v>2</v>
      </c>
      <c r="B12" s="3" t="s">
        <v>118</v>
      </c>
      <c r="C12" s="4">
        <f>3.85*4.32</f>
        <v>16.632000000000001</v>
      </c>
      <c r="D12" s="5">
        <v>56480.11</v>
      </c>
    </row>
    <row r="13" spans="1:4" x14ac:dyDescent="0.25">
      <c r="A13" s="10">
        <v>3</v>
      </c>
      <c r="B13" s="3" t="s">
        <v>119</v>
      </c>
      <c r="C13" s="4">
        <v>56.87</v>
      </c>
      <c r="D13" s="5">
        <v>104878.68000000001</v>
      </c>
    </row>
    <row r="14" spans="1:4" ht="15.75" customHeight="1" x14ac:dyDescent="0.25">
      <c r="A14" s="10">
        <v>4</v>
      </c>
      <c r="B14" s="3" t="s">
        <v>120</v>
      </c>
      <c r="C14" s="4">
        <f>3.6*3.6</f>
        <v>12.96</v>
      </c>
      <c r="D14" s="5">
        <v>53480.11</v>
      </c>
    </row>
    <row r="15" spans="1:4" x14ac:dyDescent="0.25">
      <c r="A15" s="10">
        <v>5</v>
      </c>
      <c r="B15" s="3" t="s">
        <v>348</v>
      </c>
      <c r="C15" s="4">
        <v>35</v>
      </c>
      <c r="D15" s="5">
        <v>98557.74</v>
      </c>
    </row>
    <row r="16" spans="1:4" x14ac:dyDescent="0.25">
      <c r="A16" s="8">
        <f>+A15</f>
        <v>5</v>
      </c>
      <c r="D16" s="6">
        <f>SUM(D11:D15)</f>
        <v>369876.75</v>
      </c>
    </row>
    <row r="17" spans="1:4" x14ac:dyDescent="0.25">
      <c r="A17" s="12"/>
      <c r="D17" s="6"/>
    </row>
    <row r="18" spans="1:4" ht="15" customHeight="1" x14ac:dyDescent="0.25">
      <c r="A18" s="82" t="s">
        <v>151</v>
      </c>
      <c r="B18" s="82"/>
      <c r="C18" s="82"/>
      <c r="D18" s="82"/>
    </row>
    <row r="19" spans="1:4" ht="15" customHeight="1" x14ac:dyDescent="0.25">
      <c r="A19" s="83"/>
      <c r="B19" s="83"/>
      <c r="C19" s="83"/>
      <c r="D19" s="83"/>
    </row>
    <row r="20" spans="1:4" ht="22.5" customHeight="1" x14ac:dyDescent="0.25">
      <c r="A20" s="2" t="s">
        <v>324</v>
      </c>
      <c r="B20" s="2" t="s">
        <v>12</v>
      </c>
      <c r="C20" s="2" t="s">
        <v>13</v>
      </c>
      <c r="D20" s="2" t="s">
        <v>402</v>
      </c>
    </row>
    <row r="21" spans="1:4" x14ac:dyDescent="0.25">
      <c r="A21" s="10">
        <v>1</v>
      </c>
      <c r="B21" s="3" t="s">
        <v>152</v>
      </c>
      <c r="C21" s="4">
        <f>3.55*9.84</f>
        <v>34.931999999999995</v>
      </c>
      <c r="D21" s="5">
        <v>84738.430000000008</v>
      </c>
    </row>
    <row r="22" spans="1:4" x14ac:dyDescent="0.25">
      <c r="A22" s="10">
        <v>2</v>
      </c>
      <c r="B22" s="3" t="s">
        <v>153</v>
      </c>
      <c r="C22" s="4">
        <f>3.28*3.89</f>
        <v>12.7592</v>
      </c>
      <c r="D22" s="5">
        <v>53480.11</v>
      </c>
    </row>
    <row r="23" spans="1:4" x14ac:dyDescent="0.25">
      <c r="A23" s="8">
        <f>+A22</f>
        <v>2</v>
      </c>
      <c r="D23" s="6">
        <f>SUM(D21:D22)</f>
        <v>138218.54</v>
      </c>
    </row>
    <row r="25" spans="1:4" ht="15" customHeight="1" x14ac:dyDescent="0.25">
      <c r="A25" s="82" t="s">
        <v>138</v>
      </c>
      <c r="B25" s="82"/>
      <c r="C25" s="82"/>
      <c r="D25" s="82"/>
    </row>
    <row r="26" spans="1:4" ht="15" customHeight="1" x14ac:dyDescent="0.25">
      <c r="A26" s="83"/>
      <c r="B26" s="83"/>
      <c r="C26" s="83"/>
      <c r="D26" s="83"/>
    </row>
    <row r="27" spans="1:4" ht="22.5" customHeight="1" x14ac:dyDescent="0.25">
      <c r="A27" s="2" t="s">
        <v>324</v>
      </c>
      <c r="B27" s="2" t="s">
        <v>12</v>
      </c>
      <c r="C27" s="2" t="s">
        <v>13</v>
      </c>
      <c r="D27" s="2" t="s">
        <v>402</v>
      </c>
    </row>
    <row r="28" spans="1:4" ht="17.25" customHeight="1" x14ac:dyDescent="0.25">
      <c r="A28" s="10">
        <v>1</v>
      </c>
      <c r="B28" s="3" t="s">
        <v>139</v>
      </c>
      <c r="C28" s="4">
        <f>7.41*5.48</f>
        <v>40.606800000000007</v>
      </c>
      <c r="D28" s="5">
        <v>98557.74</v>
      </c>
    </row>
    <row r="29" spans="1:4" ht="15" customHeight="1" x14ac:dyDescent="0.25">
      <c r="A29" s="10">
        <v>2</v>
      </c>
      <c r="B29" s="3" t="s">
        <v>140</v>
      </c>
      <c r="C29" s="4">
        <f>3.94*4.03</f>
        <v>15.878200000000001</v>
      </c>
      <c r="D29" s="5">
        <v>53480.11</v>
      </c>
    </row>
    <row r="30" spans="1:4" x14ac:dyDescent="0.25">
      <c r="A30" s="10">
        <v>3</v>
      </c>
      <c r="B30" s="3" t="s">
        <v>141</v>
      </c>
      <c r="C30" s="4">
        <v>60</v>
      </c>
      <c r="D30" s="5">
        <v>104878.68000000001</v>
      </c>
    </row>
    <row r="31" spans="1:4" ht="15" customHeight="1" x14ac:dyDescent="0.25">
      <c r="A31" s="10">
        <v>4</v>
      </c>
      <c r="B31" s="3" t="s">
        <v>142</v>
      </c>
      <c r="C31" s="4">
        <f>4.45*2.97</f>
        <v>13.216500000000002</v>
      </c>
      <c r="D31" s="5">
        <v>53480.11</v>
      </c>
    </row>
    <row r="32" spans="1:4" x14ac:dyDescent="0.25">
      <c r="A32" s="10">
        <v>5</v>
      </c>
      <c r="B32" s="3" t="s">
        <v>143</v>
      </c>
      <c r="C32" s="4">
        <f>2.03*4.26</f>
        <v>8.6477999999999984</v>
      </c>
      <c r="D32" s="5">
        <v>46167.65</v>
      </c>
    </row>
    <row r="33" spans="1:4" ht="14.25" customHeight="1" x14ac:dyDescent="0.25">
      <c r="A33" s="10">
        <v>6</v>
      </c>
      <c r="B33" s="3" t="s">
        <v>352</v>
      </c>
      <c r="C33" s="4">
        <f>4.34*5.4</f>
        <v>23.436</v>
      </c>
      <c r="D33" s="5">
        <v>81738.430000000008</v>
      </c>
    </row>
    <row r="34" spans="1:4" ht="15.75" customHeight="1" x14ac:dyDescent="0.25">
      <c r="A34" s="10">
        <v>7</v>
      </c>
      <c r="B34" s="3" t="s">
        <v>351</v>
      </c>
      <c r="C34" s="4">
        <f>2.3*2.3</f>
        <v>5.2899999999999991</v>
      </c>
      <c r="D34" s="5">
        <v>46167.65</v>
      </c>
    </row>
    <row r="35" spans="1:4" ht="15" customHeight="1" x14ac:dyDescent="0.25">
      <c r="A35" s="10">
        <v>8</v>
      </c>
      <c r="B35" s="3" t="s">
        <v>144</v>
      </c>
      <c r="C35" s="4">
        <f>5.75*2.8</f>
        <v>16.099999999999998</v>
      </c>
      <c r="D35" s="5">
        <v>53480.11</v>
      </c>
    </row>
    <row r="36" spans="1:4" ht="15" customHeight="1" x14ac:dyDescent="0.25">
      <c r="A36" s="10">
        <v>9</v>
      </c>
      <c r="B36" s="3" t="s">
        <v>145</v>
      </c>
      <c r="C36" s="4">
        <v>23.65</v>
      </c>
      <c r="D36" s="5">
        <v>81738.430000000008</v>
      </c>
    </row>
    <row r="37" spans="1:4" x14ac:dyDescent="0.25">
      <c r="A37" s="10">
        <v>10</v>
      </c>
      <c r="B37" s="3" t="s">
        <v>382</v>
      </c>
      <c r="C37" s="4">
        <v>60</v>
      </c>
      <c r="D37" s="5">
        <v>104878.68000000001</v>
      </c>
    </row>
    <row r="38" spans="1:4" ht="14.25" customHeight="1" x14ac:dyDescent="0.25">
      <c r="A38" s="10">
        <v>11</v>
      </c>
      <c r="B38" s="3" t="s">
        <v>30</v>
      </c>
      <c r="C38" s="4">
        <f>3.1*5.25</f>
        <v>16.275000000000002</v>
      </c>
      <c r="D38" s="5">
        <v>64138.95</v>
      </c>
    </row>
    <row r="39" spans="1:4" x14ac:dyDescent="0.25">
      <c r="A39" s="10">
        <v>12</v>
      </c>
      <c r="B39" s="3" t="s">
        <v>146</v>
      </c>
      <c r="C39" s="4">
        <f>7*8.6</f>
        <v>60.199999999999996</v>
      </c>
      <c r="D39" s="5">
        <v>104878.68000000001</v>
      </c>
    </row>
    <row r="40" spans="1:4" ht="14.25" customHeight="1" x14ac:dyDescent="0.25">
      <c r="A40" s="10">
        <v>13</v>
      </c>
      <c r="B40" s="3" t="s">
        <v>147</v>
      </c>
      <c r="C40" s="4">
        <f>3.27*3.76</f>
        <v>12.295199999999999</v>
      </c>
      <c r="D40" s="5">
        <v>53480.11</v>
      </c>
    </row>
    <row r="41" spans="1:4" ht="14.25" customHeight="1" x14ac:dyDescent="0.25">
      <c r="A41" s="10">
        <v>14</v>
      </c>
      <c r="B41" s="3" t="s">
        <v>148</v>
      </c>
      <c r="C41" s="4">
        <f>3.2*4.38</f>
        <v>14.016</v>
      </c>
      <c r="D41" s="5">
        <v>53480.11</v>
      </c>
    </row>
    <row r="42" spans="1:4" x14ac:dyDescent="0.25">
      <c r="A42" s="10">
        <v>15</v>
      </c>
      <c r="B42" s="3" t="s">
        <v>150</v>
      </c>
      <c r="C42" s="4">
        <f>11.69*9.5</f>
        <v>111.05499999999999</v>
      </c>
      <c r="D42" s="5">
        <v>145345.08999999997</v>
      </c>
    </row>
    <row r="43" spans="1:4" x14ac:dyDescent="0.25">
      <c r="A43" s="10">
        <v>16</v>
      </c>
      <c r="B43" s="3" t="s">
        <v>292</v>
      </c>
      <c r="C43" s="15">
        <v>60</v>
      </c>
      <c r="D43" s="5">
        <v>145345.08999999997</v>
      </c>
    </row>
    <row r="44" spans="1:4" ht="15" customHeight="1" x14ac:dyDescent="0.25">
      <c r="A44" s="10">
        <v>17</v>
      </c>
      <c r="B44" s="3" t="s">
        <v>350</v>
      </c>
      <c r="C44" s="4">
        <f>4.1*4.25</f>
        <v>17.424999999999997</v>
      </c>
      <c r="D44" s="5">
        <v>64138.95</v>
      </c>
    </row>
    <row r="45" spans="1:4" x14ac:dyDescent="0.25">
      <c r="A45" s="9">
        <f>+A44</f>
        <v>17</v>
      </c>
      <c r="D45" s="6">
        <f>SUM(D28:D44)</f>
        <v>1355374.57</v>
      </c>
    </row>
    <row r="47" spans="1:4" x14ac:dyDescent="0.25">
      <c r="A47" s="9">
        <f>+A16+A23+A45</f>
        <v>24</v>
      </c>
      <c r="D47" s="6">
        <f>+D16+D23+D45</f>
        <v>1863469.86</v>
      </c>
    </row>
    <row r="57" spans="2:2" x14ac:dyDescent="0.25">
      <c r="B57" t="s">
        <v>149</v>
      </c>
    </row>
  </sheetData>
  <mergeCells count="4">
    <mergeCell ref="A8:D9"/>
    <mergeCell ref="A18:D19"/>
    <mergeCell ref="A25:D26"/>
    <mergeCell ref="A6:D6"/>
  </mergeCells>
  <pageMargins left="0.7" right="0.7" top="0.75" bottom="0.75" header="0.3" footer="0.3"/>
  <pageSetup scale="94" orientation="portrait" r:id="rId1"/>
  <headerFooter>
    <oddFooter>&amp;RPrecios Mantenimiento Zona III</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58"/>
  <sheetViews>
    <sheetView view="pageBreakPreview" topLeftCell="A28" zoomScale="80" zoomScaleNormal="80" zoomScaleSheetLayoutView="80" workbookViewId="0">
      <selection activeCell="E24" sqref="E24"/>
    </sheetView>
  </sheetViews>
  <sheetFormatPr baseColWidth="10" defaultColWidth="11.42578125" defaultRowHeight="15" x14ac:dyDescent="0.25"/>
  <cols>
    <col min="1" max="1" width="7.5703125" customWidth="1"/>
    <col min="2" max="2" width="65.7109375" customWidth="1"/>
    <col min="3" max="3" width="16.7109375" customWidth="1"/>
    <col min="4" max="4" width="13.28515625" customWidth="1"/>
    <col min="5" max="5" width="25.85546875" bestFit="1" customWidth="1"/>
  </cols>
  <sheetData>
    <row r="6" spans="1:5" ht="18.75" x14ac:dyDescent="0.3">
      <c r="A6" s="85" t="s">
        <v>390</v>
      </c>
      <c r="B6" s="86"/>
      <c r="C6" s="86"/>
      <c r="D6" s="86"/>
      <c r="E6" s="87"/>
    </row>
    <row r="8" spans="1:5" ht="15" customHeight="1" x14ac:dyDescent="0.25">
      <c r="A8" s="82" t="s">
        <v>23</v>
      </c>
      <c r="B8" s="82"/>
      <c r="C8" s="82"/>
      <c r="D8" s="82"/>
      <c r="E8" s="82"/>
    </row>
    <row r="9" spans="1:5" ht="15" customHeight="1" x14ac:dyDescent="0.25">
      <c r="A9" s="83"/>
      <c r="B9" s="83"/>
      <c r="C9" s="83"/>
      <c r="D9" s="83"/>
      <c r="E9" s="83"/>
    </row>
    <row r="10" spans="1:5" ht="22.5" customHeight="1" x14ac:dyDescent="0.25">
      <c r="A10" s="2" t="s">
        <v>324</v>
      </c>
      <c r="B10" s="2" t="s">
        <v>12</v>
      </c>
      <c r="C10" s="2" t="s">
        <v>13</v>
      </c>
      <c r="D10" s="2" t="s">
        <v>14</v>
      </c>
      <c r="E10" s="2" t="s">
        <v>402</v>
      </c>
    </row>
    <row r="11" spans="1:5" x14ac:dyDescent="0.25">
      <c r="A11" s="10">
        <v>1</v>
      </c>
      <c r="B11" s="3" t="s">
        <v>24</v>
      </c>
      <c r="C11" s="4">
        <v>60</v>
      </c>
      <c r="D11" s="1" t="s">
        <v>15</v>
      </c>
      <c r="E11" s="5">
        <v>104878.68000000001</v>
      </c>
    </row>
    <row r="12" spans="1:5" x14ac:dyDescent="0.25">
      <c r="A12" s="10">
        <v>2</v>
      </c>
      <c r="B12" s="3" t="s">
        <v>25</v>
      </c>
      <c r="C12" s="4">
        <v>46</v>
      </c>
      <c r="D12" s="1" t="s">
        <v>15</v>
      </c>
      <c r="E12" s="5">
        <v>98557.74</v>
      </c>
    </row>
    <row r="13" spans="1:5" ht="14.25" customHeight="1" x14ac:dyDescent="0.25">
      <c r="A13" s="10">
        <v>3</v>
      </c>
      <c r="B13" s="3" t="s">
        <v>26</v>
      </c>
      <c r="C13" s="4">
        <v>60</v>
      </c>
      <c r="D13" s="1" t="s">
        <v>15</v>
      </c>
      <c r="E13" s="5">
        <v>104878.68000000001</v>
      </c>
    </row>
    <row r="14" spans="1:5" ht="15" customHeight="1" x14ac:dyDescent="0.25">
      <c r="A14" s="10">
        <v>4</v>
      </c>
      <c r="B14" s="3" t="s">
        <v>27</v>
      </c>
      <c r="C14" s="4">
        <f>1.87*5.5</f>
        <v>10.285</v>
      </c>
      <c r="D14" s="1" t="s">
        <v>16</v>
      </c>
      <c r="E14" s="5">
        <v>46167.65</v>
      </c>
    </row>
    <row r="15" spans="1:5" ht="15.75" customHeight="1" x14ac:dyDescent="0.25">
      <c r="A15" s="10">
        <v>5</v>
      </c>
      <c r="B15" s="3" t="s">
        <v>28</v>
      </c>
      <c r="C15" s="4">
        <f>3.45*2.7</f>
        <v>9.3150000000000013</v>
      </c>
      <c r="D15" s="1" t="s">
        <v>16</v>
      </c>
      <c r="E15" s="5">
        <v>46167.65</v>
      </c>
    </row>
    <row r="16" spans="1:5" ht="14.25" customHeight="1" x14ac:dyDescent="0.25">
      <c r="A16" s="10">
        <v>6</v>
      </c>
      <c r="B16" s="3" t="s">
        <v>331</v>
      </c>
      <c r="C16" s="4">
        <v>20</v>
      </c>
      <c r="D16" s="1" t="s">
        <v>363</v>
      </c>
      <c r="E16" s="5">
        <v>67138.95</v>
      </c>
    </row>
    <row r="17" spans="1:5" x14ac:dyDescent="0.25">
      <c r="A17" s="9">
        <f>+A16</f>
        <v>6</v>
      </c>
      <c r="E17" s="6">
        <f>SUM(E11:E16)</f>
        <v>467789.35000000009</v>
      </c>
    </row>
    <row r="19" spans="1:5" ht="15" customHeight="1" x14ac:dyDescent="0.25">
      <c r="A19" s="82" t="s">
        <v>69</v>
      </c>
      <c r="B19" s="82"/>
      <c r="C19" s="82"/>
      <c r="D19" s="82"/>
      <c r="E19" s="82"/>
    </row>
    <row r="20" spans="1:5" ht="15" customHeight="1" x14ac:dyDescent="0.25">
      <c r="A20" s="83"/>
      <c r="B20" s="83"/>
      <c r="C20" s="83"/>
      <c r="D20" s="83"/>
      <c r="E20" s="83"/>
    </row>
    <row r="21" spans="1:5" ht="32.25" customHeight="1" x14ac:dyDescent="0.25">
      <c r="A21" s="2" t="s">
        <v>324</v>
      </c>
      <c r="B21" s="2" t="s">
        <v>12</v>
      </c>
      <c r="C21" s="2" t="s">
        <v>13</v>
      </c>
      <c r="D21" s="2" t="s">
        <v>14</v>
      </c>
      <c r="E21" s="2" t="s">
        <v>402</v>
      </c>
    </row>
    <row r="22" spans="1:5" x14ac:dyDescent="0.25">
      <c r="A22" s="10">
        <v>1</v>
      </c>
      <c r="B22" s="3" t="s">
        <v>342</v>
      </c>
      <c r="C22" s="4">
        <v>35</v>
      </c>
      <c r="D22" s="1" t="s">
        <v>16</v>
      </c>
      <c r="E22" s="5">
        <v>95557.74</v>
      </c>
    </row>
    <row r="23" spans="1:5" x14ac:dyDescent="0.25">
      <c r="A23" s="10">
        <v>2</v>
      </c>
      <c r="B23" s="3" t="s">
        <v>338</v>
      </c>
      <c r="C23" s="4">
        <f>6*10</f>
        <v>60</v>
      </c>
      <c r="D23" s="1" t="s">
        <v>15</v>
      </c>
      <c r="E23" s="5">
        <v>104878.68000000001</v>
      </c>
    </row>
    <row r="24" spans="1:5" x14ac:dyDescent="0.25">
      <c r="A24" s="8">
        <f>+A23</f>
        <v>2</v>
      </c>
      <c r="E24" s="6">
        <f>+E22+E23</f>
        <v>200436.42</v>
      </c>
    </row>
    <row r="26" spans="1:5" ht="15" customHeight="1" x14ac:dyDescent="0.25">
      <c r="A26" s="82" t="s">
        <v>86</v>
      </c>
      <c r="B26" s="82"/>
      <c r="C26" s="82"/>
      <c r="D26" s="82"/>
      <c r="E26" s="82"/>
    </row>
    <row r="27" spans="1:5" ht="15" customHeight="1" x14ac:dyDescent="0.25">
      <c r="A27" s="83"/>
      <c r="B27" s="83"/>
      <c r="C27" s="83"/>
      <c r="D27" s="83"/>
      <c r="E27" s="83"/>
    </row>
    <row r="28" spans="1:5" ht="22.5" customHeight="1" x14ac:dyDescent="0.25">
      <c r="A28" s="2" t="s">
        <v>324</v>
      </c>
      <c r="B28" s="2" t="s">
        <v>12</v>
      </c>
      <c r="C28" s="2" t="s">
        <v>13</v>
      </c>
      <c r="D28" s="2" t="s">
        <v>14</v>
      </c>
      <c r="E28" s="2" t="s">
        <v>402</v>
      </c>
    </row>
    <row r="29" spans="1:5" ht="14.25" customHeight="1" x14ac:dyDescent="0.25">
      <c r="A29" s="10">
        <v>1</v>
      </c>
      <c r="B29" s="3" t="s">
        <v>87</v>
      </c>
      <c r="C29" s="4">
        <f>5.04*2.36</f>
        <v>11.894399999999999</v>
      </c>
      <c r="D29" s="1" t="s">
        <v>16</v>
      </c>
      <c r="E29" s="5">
        <v>46167.65</v>
      </c>
    </row>
    <row r="30" spans="1:5" x14ac:dyDescent="0.25">
      <c r="A30" s="10">
        <v>2</v>
      </c>
      <c r="B30" s="3" t="s">
        <v>88</v>
      </c>
      <c r="C30" s="4">
        <f>3.52*7.31</f>
        <v>25.731199999999998</v>
      </c>
      <c r="D30" s="1" t="s">
        <v>15</v>
      </c>
      <c r="E30" s="5">
        <v>84738.430000000008</v>
      </c>
    </row>
    <row r="31" spans="1:5" x14ac:dyDescent="0.25">
      <c r="A31" s="10">
        <v>3</v>
      </c>
      <c r="B31" s="3" t="s">
        <v>89</v>
      </c>
      <c r="C31" s="4">
        <f>4.89*5.93</f>
        <v>28.997699999999998</v>
      </c>
      <c r="D31" s="1" t="s">
        <v>15</v>
      </c>
      <c r="E31" s="5">
        <v>84738.430000000008</v>
      </c>
    </row>
    <row r="32" spans="1:5" x14ac:dyDescent="0.25">
      <c r="A32" s="8">
        <f>+A31</f>
        <v>3</v>
      </c>
      <c r="E32" s="6">
        <f>SUM(E29:E31)</f>
        <v>215644.51</v>
      </c>
    </row>
    <row r="34" spans="1:5" ht="15" customHeight="1" x14ac:dyDescent="0.25">
      <c r="A34" s="82" t="s">
        <v>99</v>
      </c>
      <c r="B34" s="82"/>
      <c r="C34" s="82"/>
      <c r="D34" s="82"/>
      <c r="E34" s="82"/>
    </row>
    <row r="35" spans="1:5" ht="15" customHeight="1" x14ac:dyDescent="0.25">
      <c r="A35" s="83"/>
      <c r="B35" s="83"/>
      <c r="C35" s="83"/>
      <c r="D35" s="83"/>
      <c r="E35" s="83"/>
    </row>
    <row r="36" spans="1:5" ht="22.5" customHeight="1" x14ac:dyDescent="0.25">
      <c r="A36" s="2" t="s">
        <v>324</v>
      </c>
      <c r="B36" s="2" t="s">
        <v>12</v>
      </c>
      <c r="C36" s="2" t="s">
        <v>13</v>
      </c>
      <c r="D36" s="2" t="s">
        <v>14</v>
      </c>
      <c r="E36" s="2" t="s">
        <v>402</v>
      </c>
    </row>
    <row r="37" spans="1:5" x14ac:dyDescent="0.25">
      <c r="A37" s="10">
        <v>1</v>
      </c>
      <c r="B37" s="3" t="s">
        <v>332</v>
      </c>
      <c r="C37" s="4">
        <f>4.13*4.15</f>
        <v>17.139500000000002</v>
      </c>
      <c r="D37" s="1" t="s">
        <v>15</v>
      </c>
      <c r="E37" s="5">
        <v>67138.95</v>
      </c>
    </row>
    <row r="38" spans="1:5" x14ac:dyDescent="0.25">
      <c r="A38" s="10">
        <v>2</v>
      </c>
      <c r="B38" s="3" t="s">
        <v>333</v>
      </c>
      <c r="C38" s="4">
        <v>62</v>
      </c>
      <c r="D38" s="1" t="s">
        <v>16</v>
      </c>
      <c r="E38" s="5">
        <v>101878.68000000001</v>
      </c>
    </row>
    <row r="39" spans="1:5" ht="15.75" customHeight="1" x14ac:dyDescent="0.25">
      <c r="A39" s="10">
        <v>3</v>
      </c>
      <c r="B39" s="3" t="s">
        <v>334</v>
      </c>
      <c r="C39" s="4">
        <f>2.6*3.07</f>
        <v>7.9820000000000002</v>
      </c>
      <c r="D39" s="1" t="s">
        <v>16</v>
      </c>
      <c r="E39" s="5">
        <v>46167.65</v>
      </c>
    </row>
    <row r="40" spans="1:5" ht="15" customHeight="1" x14ac:dyDescent="0.25">
      <c r="A40" s="10">
        <v>4</v>
      </c>
      <c r="B40" s="3" t="s">
        <v>336</v>
      </c>
      <c r="C40" s="4">
        <f>3.27*5.92</f>
        <v>19.3584</v>
      </c>
      <c r="D40" s="1" t="s">
        <v>15</v>
      </c>
      <c r="E40" s="5">
        <v>67138.95</v>
      </c>
    </row>
    <row r="41" spans="1:5" ht="0.75" customHeight="1" x14ac:dyDescent="0.25">
      <c r="A41" s="10">
        <v>5</v>
      </c>
      <c r="B41" s="3" t="s">
        <v>335</v>
      </c>
      <c r="C41" s="4">
        <f>3.38*3.6</f>
        <v>12.167999999999999</v>
      </c>
      <c r="D41" s="1" t="s">
        <v>16</v>
      </c>
      <c r="E41" s="5" t="e">
        <f>+#REF!</f>
        <v>#REF!</v>
      </c>
    </row>
    <row r="42" spans="1:5" x14ac:dyDescent="0.25">
      <c r="A42" s="8">
        <f>+A40</f>
        <v>4</v>
      </c>
      <c r="E42" s="6">
        <f>SUM(E37:E40)</f>
        <v>282324.23</v>
      </c>
    </row>
    <row r="44" spans="1:5" ht="15" customHeight="1" x14ac:dyDescent="0.25">
      <c r="A44" s="82" t="s">
        <v>161</v>
      </c>
      <c r="B44" s="82"/>
      <c r="C44" s="82"/>
      <c r="D44" s="82"/>
      <c r="E44" s="82"/>
    </row>
    <row r="45" spans="1:5" ht="15" customHeight="1" x14ac:dyDescent="0.25">
      <c r="A45" s="83"/>
      <c r="B45" s="83"/>
      <c r="C45" s="83"/>
      <c r="D45" s="83"/>
      <c r="E45" s="83"/>
    </row>
    <row r="46" spans="1:5" ht="22.5" customHeight="1" x14ac:dyDescent="0.25">
      <c r="A46" s="2" t="s">
        <v>324</v>
      </c>
      <c r="B46" s="2" t="s">
        <v>12</v>
      </c>
      <c r="C46" s="2" t="s">
        <v>13</v>
      </c>
      <c r="D46" s="2" t="s">
        <v>14</v>
      </c>
      <c r="E46" s="2" t="s">
        <v>402</v>
      </c>
    </row>
    <row r="47" spans="1:5" x14ac:dyDescent="0.25">
      <c r="A47" s="10">
        <v>1</v>
      </c>
      <c r="B47" s="3" t="s">
        <v>162</v>
      </c>
      <c r="C47" s="4">
        <v>35</v>
      </c>
      <c r="D47" s="1" t="s">
        <v>16</v>
      </c>
      <c r="E47" s="5">
        <v>95557.74</v>
      </c>
    </row>
    <row r="48" spans="1:5" ht="14.25" customHeight="1" x14ac:dyDescent="0.25">
      <c r="A48" s="10">
        <v>2</v>
      </c>
      <c r="B48" s="3" t="s">
        <v>163</v>
      </c>
      <c r="C48" s="4">
        <f>5.24*2.92</f>
        <v>15.300800000000001</v>
      </c>
      <c r="D48" s="1" t="s">
        <v>16</v>
      </c>
      <c r="E48" s="5">
        <v>53480.11</v>
      </c>
    </row>
    <row r="49" spans="1:5" ht="14.25" customHeight="1" x14ac:dyDescent="0.25">
      <c r="A49" s="10">
        <v>3</v>
      </c>
      <c r="B49" s="3" t="s">
        <v>164</v>
      </c>
      <c r="C49" s="4">
        <f>3.82*3.76</f>
        <v>14.363199999999999</v>
      </c>
      <c r="D49" s="1" t="s">
        <v>15</v>
      </c>
      <c r="E49" s="5">
        <v>56480.11</v>
      </c>
    </row>
    <row r="50" spans="1:5" ht="14.25" customHeight="1" x14ac:dyDescent="0.25">
      <c r="A50" s="10">
        <v>4</v>
      </c>
      <c r="B50" s="3" t="s">
        <v>165</v>
      </c>
      <c r="C50" s="4">
        <f>3.28*3.27</f>
        <v>10.7256</v>
      </c>
      <c r="D50" s="1" t="s">
        <v>16</v>
      </c>
      <c r="E50" s="5">
        <v>46167.65</v>
      </c>
    </row>
    <row r="51" spans="1:5" x14ac:dyDescent="0.25">
      <c r="A51" s="10">
        <v>5</v>
      </c>
      <c r="B51" s="3" t="s">
        <v>166</v>
      </c>
      <c r="C51" s="4">
        <f>6.85*4.11</f>
        <v>28.153500000000001</v>
      </c>
      <c r="D51" s="1" t="s">
        <v>15</v>
      </c>
      <c r="E51" s="5">
        <v>84738.430000000008</v>
      </c>
    </row>
    <row r="52" spans="1:5" ht="15.75" customHeight="1" x14ac:dyDescent="0.25">
      <c r="A52" s="10">
        <v>6</v>
      </c>
      <c r="B52" s="3" t="s">
        <v>167</v>
      </c>
      <c r="C52" s="4">
        <f>2.69*5.42</f>
        <v>14.579799999999999</v>
      </c>
      <c r="D52" s="1" t="s">
        <v>16</v>
      </c>
      <c r="E52" s="5">
        <v>53480.11</v>
      </c>
    </row>
    <row r="53" spans="1:5" ht="14.25" customHeight="1" x14ac:dyDescent="0.25">
      <c r="A53" s="10">
        <v>7</v>
      </c>
      <c r="B53" s="3" t="s">
        <v>168</v>
      </c>
      <c r="C53" s="4">
        <f>5.11*4.29</f>
        <v>21.921900000000001</v>
      </c>
      <c r="D53" s="1" t="s">
        <v>15</v>
      </c>
      <c r="E53" s="5">
        <v>67138.95</v>
      </c>
    </row>
    <row r="54" spans="1:5" x14ac:dyDescent="0.25">
      <c r="A54" s="10">
        <v>8</v>
      </c>
      <c r="B54" s="3" t="s">
        <v>169</v>
      </c>
      <c r="C54" s="4">
        <f>6.24*10.24</f>
        <v>63.897600000000004</v>
      </c>
      <c r="D54" s="1" t="s">
        <v>15</v>
      </c>
      <c r="E54" s="5">
        <v>104878.68000000001</v>
      </c>
    </row>
    <row r="55" spans="1:5" ht="27" customHeight="1" x14ac:dyDescent="0.25">
      <c r="A55" s="10">
        <v>9</v>
      </c>
      <c r="B55" s="28" t="s">
        <v>170</v>
      </c>
      <c r="C55" s="4">
        <v>32.090000000000003</v>
      </c>
      <c r="D55" s="1" t="s">
        <v>15</v>
      </c>
      <c r="E55" s="5">
        <v>84738.430000000008</v>
      </c>
    </row>
    <row r="56" spans="1:5" x14ac:dyDescent="0.25">
      <c r="A56" s="8">
        <f>+A55</f>
        <v>9</v>
      </c>
      <c r="E56" s="6">
        <f>SUM(E47:E55)</f>
        <v>646660.21000000008</v>
      </c>
    </row>
    <row r="58" spans="1:5" x14ac:dyDescent="0.25">
      <c r="A58" s="9">
        <f>+A17+A24+A32+A42+A56</f>
        <v>24</v>
      </c>
      <c r="E58" s="6">
        <f>+E17+E24+E32+E42+E56</f>
        <v>1812854.7200000002</v>
      </c>
    </row>
  </sheetData>
  <mergeCells count="6">
    <mergeCell ref="A6:E6"/>
    <mergeCell ref="A34:E35"/>
    <mergeCell ref="A44:E45"/>
    <mergeCell ref="A8:E9"/>
    <mergeCell ref="A19:E20"/>
    <mergeCell ref="A26:E27"/>
  </mergeCells>
  <dataValidations disablePrompts="1" count="1">
    <dataValidation showInputMessage="1" showErrorMessage="1" sqref="WVD16 IR16 SN16 ACJ16 AMF16 AWB16 BFX16 BPT16 BZP16 CJL16 CTH16 DDD16 DMZ16 DWV16 EGR16 EQN16 FAJ16 FKF16 FUB16 GDX16 GNT16 GXP16 HHL16 HRH16 IBD16 IKZ16 IUV16 JER16 JON16 JYJ16 KIF16 KSB16 LBX16 LLT16 LVP16 MFL16 MPH16 MZD16 NIZ16 NSV16 OCR16 OMN16 OWJ16 PGF16 PQB16 PZX16 QJT16 QTP16 RDL16 RNH16 RXD16 SGZ16 SQV16 TAR16 TKN16 TUJ16 UEF16 UOB16 UXX16 VHT16 VRP16 WBL16 WLH16"/>
  </dataValidations>
  <pageMargins left="0.7" right="0.7" top="0.75" bottom="0.75" header="0.3" footer="0.3"/>
  <pageSetup scale="70" orientation="portrait" r:id="rId1"/>
  <headerFooter>
    <oddFooter>&amp;RPrecios Mantenimiento Zona IV</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55"/>
  <sheetViews>
    <sheetView view="pageBreakPreview" topLeftCell="A22" zoomScale="80" zoomScaleNormal="80" zoomScaleSheetLayoutView="80" workbookViewId="0">
      <selection activeCell="A48" sqref="A48:XFD48"/>
    </sheetView>
  </sheetViews>
  <sheetFormatPr baseColWidth="10" defaultColWidth="11.42578125" defaultRowHeight="15" x14ac:dyDescent="0.25"/>
  <cols>
    <col min="1" max="1" width="7.140625" customWidth="1"/>
    <col min="2" max="2" width="60.140625" customWidth="1"/>
    <col min="3" max="3" width="16.7109375" customWidth="1"/>
    <col min="4" max="4" width="23.42578125" customWidth="1"/>
  </cols>
  <sheetData>
    <row r="6" spans="1:4" ht="18.75" x14ac:dyDescent="0.3">
      <c r="A6" s="85" t="s">
        <v>389</v>
      </c>
      <c r="B6" s="86"/>
      <c r="C6" s="86"/>
      <c r="D6" s="87"/>
    </row>
    <row r="8" spans="1:4" ht="15" customHeight="1" x14ac:dyDescent="0.25">
      <c r="A8" s="82" t="s">
        <v>271</v>
      </c>
      <c r="B8" s="82"/>
      <c r="C8" s="82"/>
      <c r="D8" s="82"/>
    </row>
    <row r="9" spans="1:4" ht="15" customHeight="1" x14ac:dyDescent="0.25">
      <c r="A9" s="83"/>
      <c r="B9" s="83"/>
      <c r="C9" s="83"/>
      <c r="D9" s="83"/>
    </row>
    <row r="10" spans="1:4" ht="22.5" customHeight="1" x14ac:dyDescent="0.25">
      <c r="A10" s="2" t="s">
        <v>324</v>
      </c>
      <c r="B10" s="2" t="s">
        <v>12</v>
      </c>
      <c r="C10" s="2" t="s">
        <v>13</v>
      </c>
      <c r="D10" s="2" t="s">
        <v>402</v>
      </c>
    </row>
    <row r="11" spans="1:4" ht="14.25" customHeight="1" x14ac:dyDescent="0.25">
      <c r="A11" s="10">
        <v>1</v>
      </c>
      <c r="B11" s="3" t="s">
        <v>221</v>
      </c>
      <c r="C11" s="4">
        <f>3.09*7.3</f>
        <v>22.556999999999999</v>
      </c>
      <c r="D11" s="5">
        <v>67138.95</v>
      </c>
    </row>
    <row r="12" spans="1:4" ht="15" customHeight="1" x14ac:dyDescent="0.25">
      <c r="A12" s="10">
        <v>2</v>
      </c>
      <c r="B12" s="3" t="s">
        <v>222</v>
      </c>
      <c r="C12" s="15">
        <f>5.3*4</f>
        <v>21.2</v>
      </c>
      <c r="D12" s="5">
        <v>64138.95</v>
      </c>
    </row>
    <row r="13" spans="1:4" x14ac:dyDescent="0.25">
      <c r="A13" s="10">
        <v>3</v>
      </c>
      <c r="B13" s="30" t="s">
        <v>357</v>
      </c>
      <c r="C13" s="4">
        <f>4.21*6.47</f>
        <v>27.238699999999998</v>
      </c>
      <c r="D13" s="5">
        <v>84738.430000000008</v>
      </c>
    </row>
    <row r="14" spans="1:4" x14ac:dyDescent="0.25">
      <c r="A14" s="10">
        <v>4</v>
      </c>
      <c r="B14" s="30" t="s">
        <v>223</v>
      </c>
      <c r="C14" s="4">
        <f>3.84*4.45</f>
        <v>17.088000000000001</v>
      </c>
      <c r="D14" s="5">
        <v>67138.95</v>
      </c>
    </row>
    <row r="15" spans="1:4" ht="15" customHeight="1" x14ac:dyDescent="0.25">
      <c r="A15" s="10">
        <v>5</v>
      </c>
      <c r="B15" s="30" t="s">
        <v>358</v>
      </c>
      <c r="C15" s="4">
        <f>4.64*3.23</f>
        <v>14.9872</v>
      </c>
      <c r="D15" s="5">
        <v>53480.11</v>
      </c>
    </row>
    <row r="16" spans="1:4" x14ac:dyDescent="0.25">
      <c r="A16" s="10">
        <v>6</v>
      </c>
      <c r="B16" s="30" t="s">
        <v>224</v>
      </c>
      <c r="C16" s="15">
        <f>5*3.9</f>
        <v>19.5</v>
      </c>
      <c r="D16" s="5">
        <v>67138.95</v>
      </c>
    </row>
    <row r="17" spans="1:4" x14ac:dyDescent="0.25">
      <c r="A17" s="10">
        <v>7</v>
      </c>
      <c r="B17" s="30" t="s">
        <v>225</v>
      </c>
      <c r="C17" s="4">
        <f>4.72*5.42</f>
        <v>25.5824</v>
      </c>
      <c r="D17" s="5">
        <v>84738.430000000008</v>
      </c>
    </row>
    <row r="18" spans="1:4" x14ac:dyDescent="0.25">
      <c r="A18" s="10">
        <v>8</v>
      </c>
      <c r="B18" s="30" t="s">
        <v>226</v>
      </c>
      <c r="C18" s="4">
        <f>4*6.03</f>
        <v>24.12</v>
      </c>
      <c r="D18" s="5">
        <v>84738.430000000008</v>
      </c>
    </row>
    <row r="19" spans="1:4" ht="15.75" customHeight="1" x14ac:dyDescent="0.25">
      <c r="A19" s="10">
        <v>9</v>
      </c>
      <c r="B19" s="30" t="s">
        <v>227</v>
      </c>
      <c r="C19" s="15">
        <f>2.65*3.3</f>
        <v>8.7449999999999992</v>
      </c>
      <c r="D19" s="5">
        <v>46167.65</v>
      </c>
    </row>
    <row r="20" spans="1:4" ht="15.75" customHeight="1" x14ac:dyDescent="0.25">
      <c r="A20" s="10">
        <v>10</v>
      </c>
      <c r="B20" s="30" t="s">
        <v>228</v>
      </c>
      <c r="C20" s="15">
        <f>3.1*2.3</f>
        <v>7.13</v>
      </c>
      <c r="D20" s="5">
        <v>49167.65</v>
      </c>
    </row>
    <row r="21" spans="1:4" ht="15" customHeight="1" x14ac:dyDescent="0.25">
      <c r="A21" s="10">
        <v>11</v>
      </c>
      <c r="B21" s="30" t="s">
        <v>229</v>
      </c>
      <c r="C21" s="4">
        <f>10.09*7.93</f>
        <v>80.0137</v>
      </c>
      <c r="D21" s="5">
        <v>104878.68000000001</v>
      </c>
    </row>
    <row r="22" spans="1:4" x14ac:dyDescent="0.25">
      <c r="A22" s="10">
        <v>12</v>
      </c>
      <c r="B22" s="30" t="s">
        <v>359</v>
      </c>
      <c r="C22" s="4">
        <f>6.04*4.04</f>
        <v>24.401600000000002</v>
      </c>
      <c r="D22" s="5">
        <v>84738.430000000008</v>
      </c>
    </row>
    <row r="23" spans="1:4" x14ac:dyDescent="0.25">
      <c r="A23" s="10">
        <v>13</v>
      </c>
      <c r="B23" s="30" t="s">
        <v>360</v>
      </c>
      <c r="C23" s="4">
        <f>10.15*3.3</f>
        <v>33.494999999999997</v>
      </c>
      <c r="D23" s="5">
        <v>84738.430000000008</v>
      </c>
    </row>
    <row r="24" spans="1:4" x14ac:dyDescent="0.25">
      <c r="A24" s="10">
        <v>14</v>
      </c>
      <c r="B24" s="30" t="s">
        <v>230</v>
      </c>
      <c r="C24" s="4">
        <f>3.75*2.41</f>
        <v>9.0375000000000014</v>
      </c>
      <c r="D24" s="5">
        <v>49167.65</v>
      </c>
    </row>
    <row r="25" spans="1:4" x14ac:dyDescent="0.25">
      <c r="A25" s="10">
        <v>15</v>
      </c>
      <c r="B25" s="30" t="s">
        <v>361</v>
      </c>
      <c r="C25" s="15">
        <v>75</v>
      </c>
      <c r="D25" s="5">
        <v>145345.08999999997</v>
      </c>
    </row>
    <row r="26" spans="1:4" ht="15" customHeight="1" x14ac:dyDescent="0.25">
      <c r="A26" s="10">
        <v>16</v>
      </c>
      <c r="B26" s="30" t="s">
        <v>231</v>
      </c>
      <c r="C26" s="4">
        <f>2.58*4.16</f>
        <v>10.732800000000001</v>
      </c>
      <c r="D26" s="5">
        <v>46167.65</v>
      </c>
    </row>
    <row r="27" spans="1:4" ht="14.25" customHeight="1" x14ac:dyDescent="0.25">
      <c r="A27" s="10">
        <v>17</v>
      </c>
      <c r="B27" s="30" t="s">
        <v>232</v>
      </c>
      <c r="C27" s="15">
        <f>5.8*3.2</f>
        <v>18.559999999999999</v>
      </c>
      <c r="D27" s="5">
        <v>67138.95</v>
      </c>
    </row>
    <row r="28" spans="1:4" ht="15" customHeight="1" x14ac:dyDescent="0.25">
      <c r="A28" s="10">
        <v>18</v>
      </c>
      <c r="B28" s="30" t="s">
        <v>233</v>
      </c>
      <c r="C28" s="4">
        <f>6.6*6.6</f>
        <v>43.559999999999995</v>
      </c>
      <c r="D28" s="5">
        <v>95557.74</v>
      </c>
    </row>
    <row r="29" spans="1:4" x14ac:dyDescent="0.25">
      <c r="A29" s="10">
        <v>19</v>
      </c>
      <c r="B29" s="30" t="s">
        <v>234</v>
      </c>
      <c r="C29" s="15">
        <f>8.4*8.1</f>
        <v>68.040000000000006</v>
      </c>
      <c r="D29" s="5">
        <v>104878.68000000001</v>
      </c>
    </row>
    <row r="30" spans="1:4" ht="14.25" customHeight="1" x14ac:dyDescent="0.25">
      <c r="A30" s="10">
        <v>20</v>
      </c>
      <c r="B30" s="30" t="s">
        <v>235</v>
      </c>
      <c r="C30" s="15">
        <f>2.3*3.45</f>
        <v>7.9349999999999996</v>
      </c>
      <c r="D30" s="5">
        <v>49167.65</v>
      </c>
    </row>
    <row r="31" spans="1:4" ht="15" customHeight="1" x14ac:dyDescent="0.25">
      <c r="A31" s="10">
        <v>21</v>
      </c>
      <c r="B31" s="30" t="s">
        <v>236</v>
      </c>
      <c r="C31" s="4">
        <f>3.3*3.3</f>
        <v>10.889999999999999</v>
      </c>
      <c r="D31" s="5">
        <v>46167.65</v>
      </c>
    </row>
    <row r="32" spans="1:4" ht="14.25" customHeight="1" x14ac:dyDescent="0.25">
      <c r="A32" s="10">
        <v>22</v>
      </c>
      <c r="B32" s="30" t="s">
        <v>237</v>
      </c>
      <c r="C32" s="4">
        <f>2.37*4.48</f>
        <v>10.617600000000001</v>
      </c>
      <c r="D32" s="5">
        <v>46167.65</v>
      </c>
    </row>
    <row r="33" spans="1:4" ht="15" customHeight="1" x14ac:dyDescent="0.25">
      <c r="A33" s="10">
        <v>23</v>
      </c>
      <c r="B33" s="30" t="s">
        <v>238</v>
      </c>
      <c r="C33" s="15">
        <f>2.7*4.6</f>
        <v>12.42</v>
      </c>
      <c r="D33" s="5">
        <v>46167.65</v>
      </c>
    </row>
    <row r="34" spans="1:4" x14ac:dyDescent="0.25">
      <c r="A34" s="10">
        <v>24</v>
      </c>
      <c r="B34" s="30" t="s">
        <v>239</v>
      </c>
      <c r="C34" s="4">
        <f>5.22*6.48</f>
        <v>33.825600000000001</v>
      </c>
      <c r="D34" s="5">
        <v>84738.430000000008</v>
      </c>
    </row>
    <row r="35" spans="1:4" ht="15" customHeight="1" x14ac:dyDescent="0.25">
      <c r="A35" s="10">
        <v>25</v>
      </c>
      <c r="B35" s="30" t="s">
        <v>240</v>
      </c>
      <c r="C35" s="4">
        <f>6.47*4.5</f>
        <v>29.114999999999998</v>
      </c>
      <c r="D35" s="5">
        <v>84738.430000000008</v>
      </c>
    </row>
    <row r="36" spans="1:4" ht="14.25" customHeight="1" x14ac:dyDescent="0.25">
      <c r="A36" s="10">
        <v>26</v>
      </c>
      <c r="B36" s="30" t="s">
        <v>355</v>
      </c>
      <c r="C36" s="15">
        <f>3.4*3.5</f>
        <v>11.9</v>
      </c>
      <c r="D36" s="5">
        <v>49167.65</v>
      </c>
    </row>
    <row r="37" spans="1:4" x14ac:dyDescent="0.25">
      <c r="A37" s="10">
        <v>27</v>
      </c>
      <c r="B37" s="30" t="s">
        <v>241</v>
      </c>
      <c r="C37" s="4">
        <v>14.7</v>
      </c>
      <c r="D37" s="5">
        <v>56480.11</v>
      </c>
    </row>
    <row r="38" spans="1:4" ht="14.25" customHeight="1" x14ac:dyDescent="0.25">
      <c r="A38" s="10">
        <v>28</v>
      </c>
      <c r="B38" s="30" t="s">
        <v>242</v>
      </c>
      <c r="C38" s="4">
        <f>3.26*6.33</f>
        <v>20.6358</v>
      </c>
      <c r="D38" s="5">
        <v>64138.95</v>
      </c>
    </row>
    <row r="39" spans="1:4" ht="17.25" customHeight="1" x14ac:dyDescent="0.25">
      <c r="A39" s="10">
        <v>29</v>
      </c>
      <c r="B39" s="30" t="s">
        <v>243</v>
      </c>
      <c r="C39" s="4">
        <f>2.4*2.61</f>
        <v>6.2639999999999993</v>
      </c>
      <c r="D39" s="5">
        <v>46167.65</v>
      </c>
    </row>
    <row r="40" spans="1:4" ht="17.25" customHeight="1" x14ac:dyDescent="0.25">
      <c r="A40" s="10">
        <v>30</v>
      </c>
      <c r="B40" s="30" t="s">
        <v>244</v>
      </c>
      <c r="C40" s="4">
        <f>3.01*3.55</f>
        <v>10.685499999999999</v>
      </c>
      <c r="D40" s="5">
        <v>49167.65</v>
      </c>
    </row>
    <row r="41" spans="1:4" ht="17.25" customHeight="1" x14ac:dyDescent="0.25">
      <c r="A41" s="10">
        <v>31</v>
      </c>
      <c r="B41" s="30" t="s">
        <v>245</v>
      </c>
      <c r="C41" s="4">
        <f>5*3.83</f>
        <v>19.149999999999999</v>
      </c>
      <c r="D41" s="5">
        <v>67138.95</v>
      </c>
    </row>
    <row r="42" spans="1:4" ht="15.75" customHeight="1" x14ac:dyDescent="0.25">
      <c r="A42" s="10">
        <v>32</v>
      </c>
      <c r="B42" s="30" t="s">
        <v>246</v>
      </c>
      <c r="C42" s="4">
        <f>3.78*3.06</f>
        <v>11.566799999999999</v>
      </c>
      <c r="D42" s="5">
        <v>49167.65</v>
      </c>
    </row>
    <row r="43" spans="1:4" x14ac:dyDescent="0.25">
      <c r="A43" s="10">
        <v>33</v>
      </c>
      <c r="B43" s="30" t="s">
        <v>247</v>
      </c>
      <c r="C43" s="4">
        <f>4.37*3.27</f>
        <v>14.289900000000001</v>
      </c>
      <c r="D43" s="5">
        <v>53480.11</v>
      </c>
    </row>
    <row r="44" spans="1:4" ht="15.75" customHeight="1" x14ac:dyDescent="0.25">
      <c r="A44" s="10">
        <v>34</v>
      </c>
      <c r="B44" s="30" t="s">
        <v>362</v>
      </c>
      <c r="C44" s="4">
        <f>3.27*4.3</f>
        <v>14.061</v>
      </c>
      <c r="D44" s="5">
        <v>53480.11</v>
      </c>
    </row>
    <row r="45" spans="1:4" ht="15.75" customHeight="1" x14ac:dyDescent="0.25">
      <c r="A45" s="10">
        <v>35</v>
      </c>
      <c r="B45" s="30" t="s">
        <v>248</v>
      </c>
      <c r="C45" s="4">
        <f>2.9*4.3</f>
        <v>12.469999999999999</v>
      </c>
      <c r="D45" s="5">
        <v>56480.11</v>
      </c>
    </row>
    <row r="46" spans="1:4" x14ac:dyDescent="0.25">
      <c r="A46" s="10">
        <v>36</v>
      </c>
      <c r="B46" s="30" t="s">
        <v>249</v>
      </c>
      <c r="C46" s="4">
        <f>2.66*7.76</f>
        <v>20.6416</v>
      </c>
      <c r="D46" s="5">
        <v>67138.95</v>
      </c>
    </row>
    <row r="47" spans="1:4" ht="15" customHeight="1" x14ac:dyDescent="0.25">
      <c r="A47" s="10">
        <v>37</v>
      </c>
      <c r="B47" s="30" t="s">
        <v>250</v>
      </c>
      <c r="C47" s="4">
        <f>4.65*9</f>
        <v>41.85</v>
      </c>
      <c r="D47" s="5">
        <v>98557.74</v>
      </c>
    </row>
    <row r="48" spans="1:4" ht="17.25" customHeight="1" x14ac:dyDescent="0.25">
      <c r="A48" s="10">
        <v>38</v>
      </c>
      <c r="B48" s="30" t="s">
        <v>251</v>
      </c>
      <c r="C48" s="4">
        <v>21.68</v>
      </c>
      <c r="D48" s="5">
        <v>67138.95</v>
      </c>
    </row>
    <row r="49" spans="1:4" ht="15.75" customHeight="1" x14ac:dyDescent="0.25">
      <c r="A49" s="10">
        <v>39</v>
      </c>
      <c r="B49" s="30" t="s">
        <v>252</v>
      </c>
      <c r="C49" s="4">
        <f>2.72*4.27</f>
        <v>11.6144</v>
      </c>
      <c r="D49" s="5">
        <v>49167.65</v>
      </c>
    </row>
    <row r="50" spans="1:4" ht="15" customHeight="1" x14ac:dyDescent="0.25">
      <c r="A50" s="10">
        <v>40</v>
      </c>
      <c r="B50" s="30" t="s">
        <v>253</v>
      </c>
      <c r="C50" s="4">
        <f>6.4*11.56</f>
        <v>73.984000000000009</v>
      </c>
      <c r="D50" s="5">
        <v>145345.08999999997</v>
      </c>
    </row>
    <row r="51" spans="1:4" ht="15" customHeight="1" x14ac:dyDescent="0.25">
      <c r="A51" s="10">
        <v>41</v>
      </c>
      <c r="B51" s="3" t="s">
        <v>254</v>
      </c>
      <c r="C51" s="4">
        <f>3.24*7.53</f>
        <v>24.397200000000002</v>
      </c>
      <c r="D51" s="5">
        <v>84738.430000000008</v>
      </c>
    </row>
    <row r="52" spans="1:4" x14ac:dyDescent="0.25">
      <c r="A52" s="9">
        <f>+A51</f>
        <v>41</v>
      </c>
      <c r="D52" s="6">
        <f>SUM(D11:D51)</f>
        <v>2865301.0099999993</v>
      </c>
    </row>
    <row r="55" spans="1:4" x14ac:dyDescent="0.25">
      <c r="A55" s="9">
        <f>+A52</f>
        <v>41</v>
      </c>
      <c r="D55" s="6">
        <f>+D52</f>
        <v>2865301.0099999993</v>
      </c>
    </row>
  </sheetData>
  <mergeCells count="2">
    <mergeCell ref="A6:D6"/>
    <mergeCell ref="A8:D9"/>
  </mergeCells>
  <dataValidations count="1">
    <dataValidation showInputMessage="1" showErrorMessage="1" sqref="WUW18 IK18 SG18 ACC18 ALY18 AVU18 BFQ18 BPM18 BZI18 CJE18 CTA18 DCW18 DMS18 DWO18 EGK18 EQG18 FAC18 FJY18 FTU18 GDQ18 GNM18 GXI18 HHE18 HRA18 IAW18 IKS18 IUO18 JEK18 JOG18 JYC18 KHY18 KRU18 LBQ18 LLM18 LVI18 MFE18 MPA18 MYW18 NIS18 NSO18 OCK18 OMG18 OWC18 PFY18 PPU18 PZQ18 QJM18 QTI18 RDE18 RNA18 RWW18 SGS18 SQO18 TAK18 TKG18 TUC18 UDY18 UNU18 UXQ18 VHM18 VRI18 WBE18 WLA18"/>
  </dataValidations>
  <pageMargins left="0.7" right="0.7" top="0.75" bottom="0.75" header="0.3" footer="0.3"/>
  <pageSetup scale="83" orientation="portrait" r:id="rId1"/>
  <headerFooter>
    <oddFooter>&amp;RPrecios Mantenimiento Zona V</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72"/>
  <sheetViews>
    <sheetView view="pageBreakPreview" topLeftCell="A46" zoomScale="80" zoomScaleNormal="80" zoomScaleSheetLayoutView="80" workbookViewId="0">
      <selection activeCell="A51" sqref="A51:A69"/>
    </sheetView>
  </sheetViews>
  <sheetFormatPr baseColWidth="10" defaultColWidth="11.42578125" defaultRowHeight="15" x14ac:dyDescent="0.25"/>
  <cols>
    <col min="1" max="1" width="7.140625" customWidth="1"/>
    <col min="2" max="2" width="62.5703125" customWidth="1"/>
    <col min="3" max="3" width="16.7109375" customWidth="1"/>
    <col min="4" max="4" width="23.42578125" customWidth="1"/>
  </cols>
  <sheetData>
    <row r="6" spans="1:4" ht="18.75" x14ac:dyDescent="0.3">
      <c r="A6" s="85" t="s">
        <v>388</v>
      </c>
      <c r="B6" s="86"/>
      <c r="C6" s="86"/>
      <c r="D6" s="87"/>
    </row>
    <row r="8" spans="1:4" ht="15" customHeight="1" x14ac:dyDescent="0.25">
      <c r="A8" s="82" t="s">
        <v>255</v>
      </c>
      <c r="B8" s="82"/>
      <c r="C8" s="82"/>
      <c r="D8" s="82"/>
    </row>
    <row r="9" spans="1:4" ht="15" customHeight="1" x14ac:dyDescent="0.25">
      <c r="A9" s="83"/>
      <c r="B9" s="83"/>
      <c r="C9" s="83"/>
      <c r="D9" s="83"/>
    </row>
    <row r="10" spans="1:4" ht="22.5" customHeight="1" x14ac:dyDescent="0.25">
      <c r="A10" s="2" t="s">
        <v>324</v>
      </c>
      <c r="B10" s="2" t="s">
        <v>12</v>
      </c>
      <c r="C10" s="2" t="s">
        <v>13</v>
      </c>
      <c r="D10" s="2" t="s">
        <v>402</v>
      </c>
    </row>
    <row r="11" spans="1:4" x14ac:dyDescent="0.25">
      <c r="A11" s="10">
        <v>1</v>
      </c>
      <c r="B11" s="3" t="s">
        <v>256</v>
      </c>
      <c r="C11" s="4">
        <v>47.46</v>
      </c>
      <c r="D11" s="5">
        <v>98557.74</v>
      </c>
    </row>
    <row r="12" spans="1:4" ht="17.25" customHeight="1" x14ac:dyDescent="0.25">
      <c r="A12" s="10">
        <v>2</v>
      </c>
      <c r="B12" s="3" t="s">
        <v>786</v>
      </c>
      <c r="C12" s="4">
        <f>4.15*3.85</f>
        <v>15.977500000000001</v>
      </c>
      <c r="D12" s="5">
        <v>53480.11</v>
      </c>
    </row>
    <row r="13" spans="1:4" ht="15" customHeight="1" x14ac:dyDescent="0.25">
      <c r="A13" s="10">
        <v>3</v>
      </c>
      <c r="B13" s="3" t="s">
        <v>31</v>
      </c>
      <c r="C13" s="4">
        <f>8.9*3.5</f>
        <v>31.150000000000002</v>
      </c>
      <c r="D13" s="5">
        <v>81738.430000000008</v>
      </c>
    </row>
    <row r="14" spans="1:4" ht="15.75" customHeight="1" x14ac:dyDescent="0.25">
      <c r="A14" s="10">
        <v>4</v>
      </c>
      <c r="B14" s="3" t="s">
        <v>258</v>
      </c>
      <c r="C14" s="4">
        <f>4.4*2.45</f>
        <v>10.780000000000001</v>
      </c>
      <c r="D14" s="5">
        <v>46167.65</v>
      </c>
    </row>
    <row r="15" spans="1:4" ht="15" customHeight="1" x14ac:dyDescent="0.25">
      <c r="A15" s="10">
        <v>5</v>
      </c>
      <c r="B15" s="3" t="s">
        <v>259</v>
      </c>
      <c r="C15" s="4">
        <f>2.97*3.45</f>
        <v>10.246500000000001</v>
      </c>
      <c r="D15" s="5">
        <v>49167.65</v>
      </c>
    </row>
    <row r="16" spans="1:4" ht="15.75" customHeight="1" x14ac:dyDescent="0.25">
      <c r="A16" s="10">
        <v>6</v>
      </c>
      <c r="B16" s="3" t="s">
        <v>398</v>
      </c>
      <c r="C16" s="4">
        <f>5.64*3.94</f>
        <v>22.221599999999999</v>
      </c>
      <c r="D16" s="5">
        <v>64138.95</v>
      </c>
    </row>
    <row r="17" spans="1:4" ht="15.75" customHeight="1" x14ac:dyDescent="0.25">
      <c r="A17" s="10">
        <v>7</v>
      </c>
      <c r="B17" s="3" t="s">
        <v>364</v>
      </c>
      <c r="C17" s="4">
        <f>3.88*5.3</f>
        <v>20.564</v>
      </c>
      <c r="D17" s="5">
        <v>64138.95</v>
      </c>
    </row>
    <row r="18" spans="1:4" x14ac:dyDescent="0.25">
      <c r="A18" s="10">
        <v>8</v>
      </c>
      <c r="B18" s="3" t="s">
        <v>32</v>
      </c>
      <c r="C18" s="4">
        <f>6.3*5.09</f>
        <v>32.067</v>
      </c>
      <c r="D18" s="5">
        <v>84738.430000000008</v>
      </c>
    </row>
    <row r="19" spans="1:4" x14ac:dyDescent="0.25">
      <c r="A19" s="10">
        <v>9</v>
      </c>
      <c r="B19" s="3" t="s">
        <v>261</v>
      </c>
      <c r="C19" s="4">
        <f>3.13*3.37</f>
        <v>10.5481</v>
      </c>
      <c r="D19" s="5">
        <v>46167.65</v>
      </c>
    </row>
    <row r="20" spans="1:4" ht="28.5" customHeight="1" x14ac:dyDescent="0.25">
      <c r="A20" s="10">
        <v>10</v>
      </c>
      <c r="B20" s="18" t="s">
        <v>262</v>
      </c>
      <c r="C20" s="4">
        <v>27.65</v>
      </c>
      <c r="D20" s="5">
        <v>81738.430000000008</v>
      </c>
    </row>
    <row r="21" spans="1:4" x14ac:dyDescent="0.25">
      <c r="A21" s="10">
        <v>11</v>
      </c>
      <c r="B21" s="3" t="s">
        <v>365</v>
      </c>
      <c r="C21" s="4">
        <f>1.96*4.9</f>
        <v>9.604000000000001</v>
      </c>
      <c r="D21" s="5">
        <v>46167.65</v>
      </c>
    </row>
    <row r="22" spans="1:4" x14ac:dyDescent="0.25">
      <c r="A22" s="10">
        <v>12</v>
      </c>
      <c r="B22" s="3" t="s">
        <v>366</v>
      </c>
      <c r="C22" s="4">
        <v>60</v>
      </c>
      <c r="D22" s="5">
        <v>104878.68000000001</v>
      </c>
    </row>
    <row r="23" spans="1:4" x14ac:dyDescent="0.25">
      <c r="A23" s="10">
        <v>13</v>
      </c>
      <c r="B23" s="3" t="s">
        <v>263</v>
      </c>
      <c r="C23" s="4">
        <f>4.87*5.25</f>
        <v>25.567499999999999</v>
      </c>
      <c r="D23" s="5">
        <v>84738.430000000008</v>
      </c>
    </row>
    <row r="24" spans="1:4" x14ac:dyDescent="0.25">
      <c r="A24" s="10">
        <v>14</v>
      </c>
      <c r="B24" s="3" t="s">
        <v>264</v>
      </c>
      <c r="C24" s="4">
        <f>5.8*15</f>
        <v>87</v>
      </c>
      <c r="D24" s="5">
        <v>145345.08999999997</v>
      </c>
    </row>
    <row r="25" spans="1:4" ht="16.5" customHeight="1" x14ac:dyDescent="0.25">
      <c r="A25" s="10">
        <v>15</v>
      </c>
      <c r="B25" s="3" t="s">
        <v>265</v>
      </c>
      <c r="C25" s="4">
        <f>3*3.25</f>
        <v>9.75</v>
      </c>
      <c r="D25" s="5">
        <v>46167.65</v>
      </c>
    </row>
    <row r="26" spans="1:4" ht="15.75" customHeight="1" x14ac:dyDescent="0.25">
      <c r="A26" s="10">
        <v>16</v>
      </c>
      <c r="B26" s="3" t="s">
        <v>266</v>
      </c>
      <c r="C26" s="4">
        <f>3.45*4.56</f>
        <v>15.731999999999999</v>
      </c>
      <c r="D26" s="5">
        <v>53480.11</v>
      </c>
    </row>
    <row r="27" spans="1:4" ht="27" customHeight="1" x14ac:dyDescent="0.25">
      <c r="A27" s="10">
        <v>17</v>
      </c>
      <c r="B27" s="18" t="s">
        <v>267</v>
      </c>
      <c r="C27" s="4">
        <f>3.21*4.25</f>
        <v>13.6425</v>
      </c>
      <c r="D27" s="5">
        <v>53480.11</v>
      </c>
    </row>
    <row r="28" spans="1:4" ht="14.25" customHeight="1" x14ac:dyDescent="0.25">
      <c r="A28" s="10">
        <v>18</v>
      </c>
      <c r="B28" s="3" t="s">
        <v>29</v>
      </c>
      <c r="C28" s="4">
        <f>3.3*4.3</f>
        <v>14.19</v>
      </c>
      <c r="D28" s="5">
        <v>53480.11</v>
      </c>
    </row>
    <row r="29" spans="1:4" ht="15" customHeight="1" x14ac:dyDescent="0.25">
      <c r="A29" s="10">
        <v>19</v>
      </c>
      <c r="B29" s="3" t="s">
        <v>268</v>
      </c>
      <c r="C29" s="4">
        <f>1.96*6.01</f>
        <v>11.779599999999999</v>
      </c>
      <c r="D29" s="5">
        <v>46167.65</v>
      </c>
    </row>
    <row r="30" spans="1:4" ht="15" customHeight="1" x14ac:dyDescent="0.25">
      <c r="A30" s="10">
        <v>20</v>
      </c>
      <c r="B30" s="3" t="s">
        <v>269</v>
      </c>
      <c r="C30" s="4">
        <f>3.3*4.42</f>
        <v>14.585999999999999</v>
      </c>
      <c r="D30" s="5">
        <v>53480.11</v>
      </c>
    </row>
    <row r="31" spans="1:4" ht="14.25" customHeight="1" x14ac:dyDescent="0.25">
      <c r="A31" s="10">
        <v>21</v>
      </c>
      <c r="B31" s="3" t="s">
        <v>270</v>
      </c>
      <c r="C31" s="4">
        <f>2.3*3.95</f>
        <v>9.0849999999999991</v>
      </c>
      <c r="D31" s="5">
        <v>46167.65</v>
      </c>
    </row>
    <row r="32" spans="1:4" x14ac:dyDescent="0.25">
      <c r="A32" s="9">
        <f>+A31</f>
        <v>21</v>
      </c>
      <c r="D32" s="6">
        <f>SUM(D11:D31)</f>
        <v>1403587.2300000004</v>
      </c>
    </row>
    <row r="34" spans="1:4" ht="15" customHeight="1" x14ac:dyDescent="0.25">
      <c r="A34" s="82" t="s">
        <v>272</v>
      </c>
      <c r="B34" s="82"/>
      <c r="C34" s="82"/>
      <c r="D34" s="82"/>
    </row>
    <row r="35" spans="1:4" ht="15" customHeight="1" x14ac:dyDescent="0.25">
      <c r="A35" s="83"/>
      <c r="B35" s="83"/>
      <c r="C35" s="83"/>
      <c r="D35" s="83"/>
    </row>
    <row r="36" spans="1:4" ht="22.5" customHeight="1" x14ac:dyDescent="0.25">
      <c r="A36" s="2" t="s">
        <v>324</v>
      </c>
      <c r="B36" s="2" t="s">
        <v>12</v>
      </c>
      <c r="C36" s="2" t="s">
        <v>13</v>
      </c>
      <c r="D36" s="2" t="s">
        <v>402</v>
      </c>
    </row>
    <row r="37" spans="1:4" ht="14.25" customHeight="1" x14ac:dyDescent="0.25">
      <c r="A37" s="10">
        <v>1</v>
      </c>
      <c r="B37" s="3" t="s">
        <v>273</v>
      </c>
      <c r="C37" s="4">
        <f>3.73*3.66</f>
        <v>13.6518</v>
      </c>
      <c r="D37" s="5">
        <v>53480.11</v>
      </c>
    </row>
    <row r="38" spans="1:4" ht="15.75" customHeight="1" x14ac:dyDescent="0.25">
      <c r="A38" s="10">
        <v>2</v>
      </c>
      <c r="B38" s="3" t="s">
        <v>274</v>
      </c>
      <c r="C38" s="4">
        <f>5.37*5.04</f>
        <v>27.064800000000002</v>
      </c>
      <c r="D38" s="5">
        <v>81738.430000000008</v>
      </c>
    </row>
    <row r="39" spans="1:4" ht="15" customHeight="1" x14ac:dyDescent="0.25">
      <c r="A39" s="10">
        <v>3</v>
      </c>
      <c r="B39" s="3" t="s">
        <v>275</v>
      </c>
      <c r="C39" s="4">
        <f>4.32*4.2</f>
        <v>18.144000000000002</v>
      </c>
      <c r="D39" s="5">
        <v>64138.95</v>
      </c>
    </row>
    <row r="40" spans="1:4" ht="16.5" customHeight="1" x14ac:dyDescent="0.25">
      <c r="A40" s="10">
        <v>4</v>
      </c>
      <c r="B40" s="3" t="s">
        <v>276</v>
      </c>
      <c r="C40" s="4">
        <f>3.4*3.56</f>
        <v>12.103999999999999</v>
      </c>
      <c r="D40" s="5">
        <v>53480.11</v>
      </c>
    </row>
    <row r="41" spans="1:4" ht="15" customHeight="1" x14ac:dyDescent="0.25">
      <c r="A41" s="10">
        <v>5</v>
      </c>
      <c r="B41" s="3" t="s">
        <v>277</v>
      </c>
      <c r="C41" s="4">
        <f>4.21*4.55</f>
        <v>19.1555</v>
      </c>
      <c r="D41" s="5">
        <v>64138.95</v>
      </c>
    </row>
    <row r="42" spans="1:4" x14ac:dyDescent="0.25">
      <c r="A42" s="10">
        <v>6</v>
      </c>
      <c r="B42" s="3" t="s">
        <v>278</v>
      </c>
      <c r="C42" s="4">
        <f>2.85*3.8</f>
        <v>10.83</v>
      </c>
      <c r="D42" s="5">
        <v>46167.65</v>
      </c>
    </row>
    <row r="43" spans="1:4" ht="15" customHeight="1" x14ac:dyDescent="0.25">
      <c r="A43" s="10">
        <v>7</v>
      </c>
      <c r="B43" s="3" t="s">
        <v>279</v>
      </c>
      <c r="C43" s="4">
        <f>3.9*3.9</f>
        <v>15.209999999999999</v>
      </c>
      <c r="D43" s="5">
        <v>53480.11</v>
      </c>
    </row>
    <row r="44" spans="1:4" x14ac:dyDescent="0.25">
      <c r="A44" s="10">
        <v>8</v>
      </c>
      <c r="B44" s="3" t="s">
        <v>393</v>
      </c>
      <c r="C44" s="4">
        <f>5.65*5.28</f>
        <v>29.832000000000004</v>
      </c>
      <c r="D44" s="5">
        <v>84738.430000000008</v>
      </c>
    </row>
    <row r="45" spans="1:4" ht="17.25" customHeight="1" x14ac:dyDescent="0.25">
      <c r="A45" s="10">
        <v>9</v>
      </c>
      <c r="B45" s="3" t="s">
        <v>280</v>
      </c>
      <c r="C45" s="4">
        <f>2.8*3.34</f>
        <v>9.3519999999999985</v>
      </c>
      <c r="D45" s="5">
        <v>46167.65</v>
      </c>
    </row>
    <row r="46" spans="1:4" x14ac:dyDescent="0.25">
      <c r="A46" s="8">
        <f>+A45</f>
        <v>9</v>
      </c>
      <c r="D46" s="6">
        <f>SUM(D37:D45)</f>
        <v>547530.39</v>
      </c>
    </row>
    <row r="48" spans="1:4" ht="15" customHeight="1" x14ac:dyDescent="0.25">
      <c r="A48" s="82" t="s">
        <v>281</v>
      </c>
      <c r="B48" s="82"/>
      <c r="C48" s="82"/>
      <c r="D48" s="82"/>
    </row>
    <row r="49" spans="1:4" ht="15" customHeight="1" x14ac:dyDescent="0.25">
      <c r="A49" s="83"/>
      <c r="B49" s="83"/>
      <c r="C49" s="83"/>
      <c r="D49" s="83"/>
    </row>
    <row r="50" spans="1:4" ht="22.5" customHeight="1" x14ac:dyDescent="0.25">
      <c r="A50" s="2" t="s">
        <v>324</v>
      </c>
      <c r="B50" s="2" t="s">
        <v>12</v>
      </c>
      <c r="C50" s="2" t="s">
        <v>13</v>
      </c>
      <c r="D50" s="2" t="s">
        <v>402</v>
      </c>
    </row>
    <row r="51" spans="1:4" x14ac:dyDescent="0.25">
      <c r="A51" s="10">
        <v>1</v>
      </c>
      <c r="B51" s="29" t="s">
        <v>400</v>
      </c>
      <c r="C51" s="4">
        <f>3.8*3.9</f>
        <v>14.819999999999999</v>
      </c>
      <c r="D51" s="5">
        <v>53480.11</v>
      </c>
    </row>
    <row r="52" spans="1:4" ht="14.25" customHeight="1" x14ac:dyDescent="0.25">
      <c r="A52" s="10">
        <v>2</v>
      </c>
      <c r="B52" s="29" t="s">
        <v>282</v>
      </c>
      <c r="C52" s="4">
        <f>4*5.45</f>
        <v>21.8</v>
      </c>
      <c r="D52" s="5">
        <v>64138.95</v>
      </c>
    </row>
    <row r="53" spans="1:4" ht="14.25" customHeight="1" x14ac:dyDescent="0.25">
      <c r="A53" s="10">
        <v>3</v>
      </c>
      <c r="B53" s="29" t="s">
        <v>283</v>
      </c>
      <c r="C53" s="4">
        <f>3.27*4.1</f>
        <v>13.406999999999998</v>
      </c>
      <c r="D53" s="5">
        <v>56480.11</v>
      </c>
    </row>
    <row r="54" spans="1:4" ht="15" customHeight="1" x14ac:dyDescent="0.25">
      <c r="A54" s="10">
        <v>4</v>
      </c>
      <c r="B54" s="29" t="s">
        <v>284</v>
      </c>
      <c r="C54" s="4">
        <f>3.8*4.05</f>
        <v>15.389999999999999</v>
      </c>
      <c r="D54" s="5">
        <v>53480.11</v>
      </c>
    </row>
    <row r="55" spans="1:4" ht="15" customHeight="1" x14ac:dyDescent="0.25">
      <c r="A55" s="10">
        <v>5</v>
      </c>
      <c r="B55" s="29" t="s">
        <v>285</v>
      </c>
      <c r="C55" s="4">
        <f>3.49*8.09</f>
        <v>28.234100000000002</v>
      </c>
      <c r="D55" s="5">
        <v>81738.430000000008</v>
      </c>
    </row>
    <row r="56" spans="1:4" x14ac:dyDescent="0.25">
      <c r="A56" s="10">
        <v>6</v>
      </c>
      <c r="B56" s="29" t="s">
        <v>340</v>
      </c>
      <c r="C56" s="4">
        <f>4.36*3.09</f>
        <v>13.4724</v>
      </c>
      <c r="D56" s="5">
        <v>56480.11</v>
      </c>
    </row>
    <row r="57" spans="1:4" ht="15" customHeight="1" x14ac:dyDescent="0.25">
      <c r="A57" s="10">
        <v>7</v>
      </c>
      <c r="B57" s="29" t="s">
        <v>286</v>
      </c>
      <c r="C57" s="4">
        <f>3.27*2.23</f>
        <v>7.2920999999999996</v>
      </c>
      <c r="D57" s="5">
        <v>46167.65</v>
      </c>
    </row>
    <row r="58" spans="1:4" ht="15.75" customHeight="1" x14ac:dyDescent="0.25">
      <c r="A58" s="10">
        <v>8</v>
      </c>
      <c r="B58" s="29" t="s">
        <v>287</v>
      </c>
      <c r="C58" s="15"/>
      <c r="D58" s="5">
        <v>49167.65</v>
      </c>
    </row>
    <row r="59" spans="1:4" ht="13.5" customHeight="1" x14ac:dyDescent="0.25">
      <c r="A59" s="10">
        <v>9</v>
      </c>
      <c r="B59" s="29" t="s">
        <v>288</v>
      </c>
      <c r="C59" s="4">
        <f>3.66*3</f>
        <v>10.98</v>
      </c>
      <c r="D59" s="5">
        <v>46167.65</v>
      </c>
    </row>
    <row r="60" spans="1:4" ht="15" customHeight="1" x14ac:dyDescent="0.25">
      <c r="A60" s="10">
        <v>10</v>
      </c>
      <c r="B60" s="29" t="s">
        <v>289</v>
      </c>
      <c r="C60" s="4">
        <v>7.9</v>
      </c>
      <c r="D60" s="5">
        <v>46167.65</v>
      </c>
    </row>
    <row r="61" spans="1:4" x14ac:dyDescent="0.25">
      <c r="A61" s="10">
        <v>11</v>
      </c>
      <c r="B61" s="29" t="s">
        <v>290</v>
      </c>
      <c r="C61" s="4">
        <f>9.23*8.72</f>
        <v>80.485600000000005</v>
      </c>
      <c r="D61" s="5">
        <v>145345.08999999997</v>
      </c>
    </row>
    <row r="62" spans="1:4" x14ac:dyDescent="0.25">
      <c r="A62" s="10">
        <v>12</v>
      </c>
      <c r="B62" s="29" t="s">
        <v>291</v>
      </c>
      <c r="C62" s="4">
        <f>3.98*5.84</f>
        <v>23.243199999999998</v>
      </c>
      <c r="D62" s="5">
        <v>81738.430000000008</v>
      </c>
    </row>
    <row r="63" spans="1:4" x14ac:dyDescent="0.25">
      <c r="A63" s="10">
        <v>13</v>
      </c>
      <c r="B63" s="29" t="s">
        <v>293</v>
      </c>
      <c r="C63" s="4">
        <f>3.28*3.7</f>
        <v>12.135999999999999</v>
      </c>
      <c r="D63" s="5">
        <v>46167.65</v>
      </c>
    </row>
    <row r="64" spans="1:4" ht="15.75" customHeight="1" x14ac:dyDescent="0.25">
      <c r="A64" s="10">
        <v>14</v>
      </c>
      <c r="B64" s="29" t="s">
        <v>294</v>
      </c>
      <c r="C64" s="4">
        <f>5.55*3.25</f>
        <v>18.037499999999998</v>
      </c>
      <c r="D64" s="5">
        <v>67138.95</v>
      </c>
    </row>
    <row r="65" spans="1:4" ht="28.5" customHeight="1" x14ac:dyDescent="0.25">
      <c r="A65" s="10">
        <v>15</v>
      </c>
      <c r="B65" s="77" t="s">
        <v>295</v>
      </c>
      <c r="C65" s="4">
        <f>4.28*6.42</f>
        <v>27.477600000000002</v>
      </c>
      <c r="D65" s="5">
        <v>84738.430000000008</v>
      </c>
    </row>
    <row r="66" spans="1:4" ht="15" customHeight="1" x14ac:dyDescent="0.25">
      <c r="A66" s="10">
        <v>16</v>
      </c>
      <c r="B66" s="29" t="s">
        <v>296</v>
      </c>
      <c r="C66" s="4">
        <f>4.54*5.03</f>
        <v>22.836200000000002</v>
      </c>
      <c r="D66" s="5">
        <v>64138.95</v>
      </c>
    </row>
    <row r="67" spans="1:4" x14ac:dyDescent="0.25">
      <c r="A67" s="10">
        <v>17</v>
      </c>
      <c r="B67" s="29" t="s">
        <v>339</v>
      </c>
      <c r="C67" s="4">
        <f>3.3*4.83</f>
        <v>15.939</v>
      </c>
      <c r="D67" s="5">
        <v>53480.11</v>
      </c>
    </row>
    <row r="68" spans="1:4" ht="15" customHeight="1" x14ac:dyDescent="0.25">
      <c r="A68" s="10">
        <v>18</v>
      </c>
      <c r="B68" s="29" t="s">
        <v>297</v>
      </c>
      <c r="C68" s="4">
        <f>4.13*3.08</f>
        <v>12.7204</v>
      </c>
      <c r="D68" s="5">
        <v>53480.11</v>
      </c>
    </row>
    <row r="69" spans="1:4" x14ac:dyDescent="0.25">
      <c r="A69" s="10">
        <v>19</v>
      </c>
      <c r="B69" s="29" t="s">
        <v>298</v>
      </c>
      <c r="C69" s="4">
        <v>60</v>
      </c>
      <c r="D69" s="5">
        <v>104878.68000000001</v>
      </c>
    </row>
    <row r="70" spans="1:4" x14ac:dyDescent="0.25">
      <c r="A70" s="9">
        <f>+A69</f>
        <v>19</v>
      </c>
      <c r="D70" s="6">
        <f>SUM(D51:D69)</f>
        <v>1254574.82</v>
      </c>
    </row>
    <row r="72" spans="1:4" x14ac:dyDescent="0.25">
      <c r="A72" s="9">
        <f>+A32+A46+A70</f>
        <v>49</v>
      </c>
      <c r="D72" s="6">
        <f>+D32+D46+D70</f>
        <v>3205692.4400000004</v>
      </c>
    </row>
  </sheetData>
  <mergeCells count="4">
    <mergeCell ref="A8:D9"/>
    <mergeCell ref="A34:D35"/>
    <mergeCell ref="A48:D49"/>
    <mergeCell ref="A6:D6"/>
  </mergeCells>
  <pageMargins left="0.7" right="0.7" top="0.75" bottom="0.75" header="0.3" footer="0.3"/>
  <pageSetup scale="61" orientation="portrait" r:id="rId1"/>
  <headerFooter>
    <oddFooter>&amp;RPrecios Mantenimiento Zona VI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56"/>
  <sheetViews>
    <sheetView view="pageBreakPreview" topLeftCell="A25" zoomScale="80" zoomScaleNormal="80" zoomScaleSheetLayoutView="80" workbookViewId="0">
      <selection activeCell="F55" sqref="F55"/>
    </sheetView>
  </sheetViews>
  <sheetFormatPr baseColWidth="10" defaultColWidth="11.42578125" defaultRowHeight="15" x14ac:dyDescent="0.25"/>
  <cols>
    <col min="1" max="1" width="7.140625" customWidth="1"/>
    <col min="2" max="2" width="53.42578125" customWidth="1"/>
    <col min="3" max="3" width="17.85546875" customWidth="1"/>
    <col min="4" max="4" width="22.85546875" customWidth="1"/>
  </cols>
  <sheetData>
    <row r="6" spans="1:4" ht="18.75" x14ac:dyDescent="0.3">
      <c r="A6" s="85" t="s">
        <v>387</v>
      </c>
      <c r="B6" s="86"/>
      <c r="C6" s="86"/>
      <c r="D6" s="87"/>
    </row>
    <row r="8" spans="1:4" ht="15" customHeight="1" x14ac:dyDescent="0.25">
      <c r="A8" s="82" t="s">
        <v>6</v>
      </c>
      <c r="B8" s="82"/>
      <c r="C8" s="82"/>
      <c r="D8" s="82"/>
    </row>
    <row r="9" spans="1:4" ht="15" customHeight="1" x14ac:dyDescent="0.25">
      <c r="A9" s="83"/>
      <c r="B9" s="83"/>
      <c r="C9" s="83"/>
      <c r="D9" s="83"/>
    </row>
    <row r="10" spans="1:4" ht="22.5" customHeight="1" x14ac:dyDescent="0.25">
      <c r="A10" s="2" t="s">
        <v>324</v>
      </c>
      <c r="B10" s="2" t="s">
        <v>12</v>
      </c>
      <c r="C10" s="2" t="s">
        <v>13</v>
      </c>
      <c r="D10" s="2" t="s">
        <v>402</v>
      </c>
    </row>
    <row r="11" spans="1:4" x14ac:dyDescent="0.25">
      <c r="A11" s="10">
        <v>1</v>
      </c>
      <c r="B11" s="3" t="s">
        <v>7</v>
      </c>
      <c r="C11" s="4">
        <f>7.5*6.25</f>
        <v>46.875</v>
      </c>
      <c r="D11" s="5">
        <v>98557.74</v>
      </c>
    </row>
    <row r="12" spans="1:4" x14ac:dyDescent="0.25">
      <c r="A12" s="10">
        <v>2</v>
      </c>
      <c r="B12" s="3" t="s">
        <v>8</v>
      </c>
      <c r="C12" s="4">
        <f>3.08*6.77</f>
        <v>20.851599999999998</v>
      </c>
      <c r="D12" s="5">
        <v>67138.95</v>
      </c>
    </row>
    <row r="13" spans="1:4" x14ac:dyDescent="0.25">
      <c r="A13" s="10">
        <v>3</v>
      </c>
      <c r="B13" s="3" t="s">
        <v>345</v>
      </c>
      <c r="C13" s="4">
        <f>6.85*6.25</f>
        <v>42.8125</v>
      </c>
      <c r="D13" s="5">
        <v>98557.74</v>
      </c>
    </row>
    <row r="14" spans="1:4" ht="26.25" x14ac:dyDescent="0.25">
      <c r="A14" s="10">
        <v>4</v>
      </c>
      <c r="B14" s="18" t="s">
        <v>9</v>
      </c>
      <c r="C14" s="4">
        <f>3.28*3.09</f>
        <v>10.135199999999999</v>
      </c>
      <c r="D14" s="5">
        <v>49167.65</v>
      </c>
    </row>
    <row r="15" spans="1:4" x14ac:dyDescent="0.25">
      <c r="A15" s="10">
        <v>5</v>
      </c>
      <c r="B15" s="3" t="s">
        <v>10</v>
      </c>
      <c r="C15" s="4">
        <f>4.26*2.87</f>
        <v>12.2262</v>
      </c>
      <c r="D15" s="5">
        <v>56480.11</v>
      </c>
    </row>
    <row r="16" spans="1:4" x14ac:dyDescent="0.25">
      <c r="A16" s="10">
        <v>6</v>
      </c>
      <c r="B16" s="3" t="s">
        <v>11</v>
      </c>
      <c r="C16" s="4">
        <f>4.85*7.05</f>
        <v>34.192499999999995</v>
      </c>
      <c r="D16" s="5">
        <v>98557.74</v>
      </c>
    </row>
    <row r="17" spans="1:4" x14ac:dyDescent="0.25">
      <c r="A17" s="8">
        <f>+A16</f>
        <v>6</v>
      </c>
      <c r="D17" s="6">
        <f>SUM(D11:D16)</f>
        <v>468459.93</v>
      </c>
    </row>
    <row r="19" spans="1:4" ht="15" customHeight="1" x14ac:dyDescent="0.25">
      <c r="A19" s="82" t="s">
        <v>0</v>
      </c>
      <c r="B19" s="82"/>
      <c r="C19" s="82"/>
      <c r="D19" s="82"/>
    </row>
    <row r="20" spans="1:4" ht="15" customHeight="1" x14ac:dyDescent="0.25">
      <c r="A20" s="83"/>
      <c r="B20" s="83"/>
      <c r="C20" s="83"/>
      <c r="D20" s="83"/>
    </row>
    <row r="21" spans="1:4" ht="22.5" customHeight="1" x14ac:dyDescent="0.25">
      <c r="A21" s="2" t="s">
        <v>324</v>
      </c>
      <c r="B21" s="2" t="s">
        <v>12</v>
      </c>
      <c r="C21" s="2" t="s">
        <v>13</v>
      </c>
      <c r="D21" s="2" t="s">
        <v>402</v>
      </c>
    </row>
    <row r="22" spans="1:4" ht="15.75" customHeight="1" x14ac:dyDescent="0.25">
      <c r="A22" s="10">
        <v>1</v>
      </c>
      <c r="B22" s="3" t="s">
        <v>1</v>
      </c>
      <c r="C22" s="4">
        <f>3.03*5.23</f>
        <v>15.8469</v>
      </c>
      <c r="D22" s="5">
        <v>56480.11</v>
      </c>
    </row>
    <row r="23" spans="1:4" x14ac:dyDescent="0.25">
      <c r="A23" s="10">
        <v>2</v>
      </c>
      <c r="B23" s="3" t="s">
        <v>2</v>
      </c>
      <c r="C23" s="4">
        <f>6.7*6.95</f>
        <v>46.565000000000005</v>
      </c>
      <c r="D23" s="5">
        <v>98557.74</v>
      </c>
    </row>
    <row r="24" spans="1:4" ht="14.25" customHeight="1" x14ac:dyDescent="0.25">
      <c r="A24" s="10">
        <v>3</v>
      </c>
      <c r="B24" s="3" t="s">
        <v>3</v>
      </c>
      <c r="C24" s="4">
        <f>3.38*3.27</f>
        <v>11.0526</v>
      </c>
      <c r="D24" s="5">
        <v>49167.65</v>
      </c>
    </row>
    <row r="25" spans="1:4" x14ac:dyDescent="0.25">
      <c r="A25" s="10">
        <v>4</v>
      </c>
      <c r="B25" s="3" t="s">
        <v>4</v>
      </c>
      <c r="C25" s="4">
        <f>6.55*6.95</f>
        <v>45.522500000000001</v>
      </c>
      <c r="D25" s="5">
        <v>98557.74</v>
      </c>
    </row>
    <row r="26" spans="1:4" x14ac:dyDescent="0.25">
      <c r="A26" s="10">
        <v>5</v>
      </c>
      <c r="B26" s="3" t="s">
        <v>5</v>
      </c>
      <c r="C26" s="4">
        <f>7.4*2.88</f>
        <v>21.312000000000001</v>
      </c>
      <c r="D26" s="5">
        <v>67138.95</v>
      </c>
    </row>
    <row r="27" spans="1:4" x14ac:dyDescent="0.25">
      <c r="A27" s="8">
        <f>+A26</f>
        <v>5</v>
      </c>
      <c r="D27" s="6">
        <f>SUM(D22:D26)</f>
        <v>369902.19</v>
      </c>
    </row>
    <row r="28" spans="1:4" x14ac:dyDescent="0.25">
      <c r="A28" s="12"/>
    </row>
    <row r="29" spans="1:4" ht="15" customHeight="1" x14ac:dyDescent="0.25">
      <c r="A29" s="82" t="s">
        <v>171</v>
      </c>
      <c r="B29" s="82"/>
      <c r="C29" s="82"/>
      <c r="D29" s="82"/>
    </row>
    <row r="30" spans="1:4" ht="15" customHeight="1" x14ac:dyDescent="0.25">
      <c r="A30" s="83"/>
      <c r="B30" s="83"/>
      <c r="C30" s="83"/>
      <c r="D30" s="83"/>
    </row>
    <row r="31" spans="1:4" ht="22.5" customHeight="1" x14ac:dyDescent="0.25">
      <c r="A31" s="2" t="s">
        <v>324</v>
      </c>
      <c r="B31" s="2" t="s">
        <v>12</v>
      </c>
      <c r="C31" s="2" t="s">
        <v>13</v>
      </c>
      <c r="D31" s="2" t="s">
        <v>402</v>
      </c>
    </row>
    <row r="32" spans="1:4" x14ac:dyDescent="0.25">
      <c r="A32" s="10">
        <v>1</v>
      </c>
      <c r="B32" s="3" t="s">
        <v>172</v>
      </c>
      <c r="C32" s="4">
        <f>7*8.6</f>
        <v>60.199999999999996</v>
      </c>
      <c r="D32" s="5">
        <v>104878.68000000001</v>
      </c>
    </row>
    <row r="33" spans="1:4" x14ac:dyDescent="0.25">
      <c r="A33" s="10">
        <v>2</v>
      </c>
      <c r="B33" s="3" t="s">
        <v>173</v>
      </c>
      <c r="C33" s="4">
        <f>7*10</f>
        <v>70</v>
      </c>
      <c r="D33" s="5">
        <v>145345.08999999997</v>
      </c>
    </row>
    <row r="34" spans="1:4" x14ac:dyDescent="0.25">
      <c r="A34" s="10">
        <v>3</v>
      </c>
      <c r="B34" s="3" t="s">
        <v>174</v>
      </c>
      <c r="C34" s="4">
        <v>60</v>
      </c>
      <c r="D34" s="5">
        <v>104878.68000000001</v>
      </c>
    </row>
    <row r="35" spans="1:4" ht="14.25" customHeight="1" x14ac:dyDescent="0.25">
      <c r="A35" s="10">
        <v>4</v>
      </c>
      <c r="B35" s="3" t="s">
        <v>175</v>
      </c>
      <c r="C35" s="4">
        <f>5.52*4.67</f>
        <v>25.778399999999998</v>
      </c>
      <c r="D35" s="5">
        <v>81738.430000000008</v>
      </c>
    </row>
    <row r="36" spans="1:4" x14ac:dyDescent="0.25">
      <c r="A36" s="10">
        <v>5</v>
      </c>
      <c r="B36" s="3" t="s">
        <v>176</v>
      </c>
      <c r="C36" s="4">
        <v>35</v>
      </c>
      <c r="D36" s="5">
        <v>98557.74</v>
      </c>
    </row>
    <row r="37" spans="1:4" x14ac:dyDescent="0.25">
      <c r="A37" s="8">
        <f>+A36</f>
        <v>5</v>
      </c>
      <c r="D37" s="6">
        <f>SUM(D32:D36)</f>
        <v>535398.62</v>
      </c>
    </row>
    <row r="39" spans="1:4" ht="15" customHeight="1" x14ac:dyDescent="0.25">
      <c r="A39" s="82" t="s">
        <v>100</v>
      </c>
      <c r="B39" s="82"/>
      <c r="C39" s="82"/>
      <c r="D39" s="82"/>
    </row>
    <row r="40" spans="1:4" ht="15" customHeight="1" x14ac:dyDescent="0.25">
      <c r="A40" s="83"/>
      <c r="B40" s="83"/>
      <c r="C40" s="83"/>
      <c r="D40" s="83"/>
    </row>
    <row r="41" spans="1:4" ht="22.5" customHeight="1" x14ac:dyDescent="0.25">
      <c r="A41" s="2" t="s">
        <v>324</v>
      </c>
      <c r="B41" s="2" t="s">
        <v>12</v>
      </c>
      <c r="C41" s="2" t="s">
        <v>13</v>
      </c>
      <c r="D41" s="2" t="s">
        <v>402</v>
      </c>
    </row>
    <row r="42" spans="1:4" x14ac:dyDescent="0.25">
      <c r="A42" s="10">
        <v>1</v>
      </c>
      <c r="B42" s="3" t="s">
        <v>101</v>
      </c>
      <c r="C42" s="4">
        <v>50</v>
      </c>
      <c r="D42" s="5">
        <v>98557.74</v>
      </c>
    </row>
    <row r="43" spans="1:4" ht="16.5" customHeight="1" x14ac:dyDescent="0.25">
      <c r="A43" s="10">
        <v>2</v>
      </c>
      <c r="B43" s="3" t="s">
        <v>102</v>
      </c>
      <c r="C43" s="4">
        <f>3.7*3.68</f>
        <v>13.616000000000001</v>
      </c>
      <c r="D43" s="5">
        <v>53480.11</v>
      </c>
    </row>
    <row r="44" spans="1:4" ht="14.25" customHeight="1" x14ac:dyDescent="0.25">
      <c r="A44" s="10">
        <v>3</v>
      </c>
      <c r="B44" s="3" t="s">
        <v>103</v>
      </c>
      <c r="C44" s="4">
        <f>5.31*5.1</f>
        <v>27.080999999999996</v>
      </c>
      <c r="D44" s="5">
        <v>84738.430000000008</v>
      </c>
    </row>
    <row r="45" spans="1:4" x14ac:dyDescent="0.25">
      <c r="A45" s="10">
        <v>4</v>
      </c>
      <c r="B45" s="3" t="s">
        <v>104</v>
      </c>
      <c r="C45" s="4">
        <f>11.21*11.96</f>
        <v>134.07160000000002</v>
      </c>
      <c r="D45" s="5">
        <v>145345.08999999997</v>
      </c>
    </row>
    <row r="46" spans="1:4" x14ac:dyDescent="0.25">
      <c r="A46" s="10">
        <v>5</v>
      </c>
      <c r="B46" s="3" t="s">
        <v>105</v>
      </c>
      <c r="C46" s="4">
        <f>11.36*7.97</f>
        <v>90.539199999999994</v>
      </c>
      <c r="D46" s="5">
        <v>145345.08999999997</v>
      </c>
    </row>
    <row r="47" spans="1:4" x14ac:dyDescent="0.25">
      <c r="A47" s="10">
        <v>6</v>
      </c>
      <c r="B47" s="3" t="s">
        <v>106</v>
      </c>
      <c r="C47" s="4">
        <f>6.99*8.53</f>
        <v>59.624699999999997</v>
      </c>
      <c r="D47" s="5">
        <v>104878.68000000001</v>
      </c>
    </row>
    <row r="48" spans="1:4" ht="14.25" customHeight="1" x14ac:dyDescent="0.25">
      <c r="A48" s="10">
        <v>7</v>
      </c>
      <c r="B48" s="3" t="s">
        <v>107</v>
      </c>
      <c r="C48" s="4">
        <f>4.55*4.77</f>
        <v>21.703499999999998</v>
      </c>
      <c r="D48" s="5">
        <v>67138.95</v>
      </c>
    </row>
    <row r="49" spans="1:4" ht="14.25" customHeight="1" x14ac:dyDescent="0.25">
      <c r="A49" s="10">
        <v>8</v>
      </c>
      <c r="B49" s="3" t="s">
        <v>108</v>
      </c>
      <c r="C49" s="4">
        <f>3.16*6.3</f>
        <v>19.908000000000001</v>
      </c>
      <c r="D49" s="5">
        <v>67138.95</v>
      </c>
    </row>
    <row r="50" spans="1:4" ht="15" customHeight="1" x14ac:dyDescent="0.25">
      <c r="A50" s="10">
        <v>9</v>
      </c>
      <c r="B50" s="3" t="s">
        <v>109</v>
      </c>
      <c r="C50" s="4">
        <v>28.6</v>
      </c>
      <c r="D50" s="5">
        <v>84738.430000000008</v>
      </c>
    </row>
    <row r="51" spans="1:4" ht="14.25" customHeight="1" x14ac:dyDescent="0.25">
      <c r="A51" s="10">
        <v>10</v>
      </c>
      <c r="B51" s="3" t="s">
        <v>110</v>
      </c>
      <c r="C51" s="4">
        <f>3.08*3.29</f>
        <v>10.1332</v>
      </c>
      <c r="D51" s="5">
        <v>46167.65</v>
      </c>
    </row>
    <row r="52" spans="1:4" ht="15.75" customHeight="1" x14ac:dyDescent="0.25">
      <c r="A52" s="10">
        <v>11</v>
      </c>
      <c r="B52" s="3" t="s">
        <v>111</v>
      </c>
      <c r="C52" s="4">
        <v>30.7</v>
      </c>
      <c r="D52" s="5">
        <v>81738.430000000008</v>
      </c>
    </row>
    <row r="53" spans="1:4" ht="16.5" customHeight="1" x14ac:dyDescent="0.25">
      <c r="A53" s="10">
        <v>12</v>
      </c>
      <c r="B53" s="3" t="s">
        <v>344</v>
      </c>
      <c r="C53" s="4">
        <v>42</v>
      </c>
      <c r="D53" s="5">
        <v>98557.74</v>
      </c>
    </row>
    <row r="54" spans="1:4" x14ac:dyDescent="0.25">
      <c r="A54" s="8">
        <f>+A53</f>
        <v>12</v>
      </c>
      <c r="D54" s="6">
        <f>SUM(D42:D53)</f>
        <v>1077825.29</v>
      </c>
    </row>
    <row r="55" spans="1:4" x14ac:dyDescent="0.25">
      <c r="A55" s="12"/>
    </row>
    <row r="56" spans="1:4" x14ac:dyDescent="0.25">
      <c r="A56" s="9">
        <f>+A17+A27+A37+A54</f>
        <v>28</v>
      </c>
      <c r="D56" s="6">
        <f>SUM(D17,D27,D37,D54)</f>
        <v>2451586.0300000003</v>
      </c>
    </row>
  </sheetData>
  <mergeCells count="5">
    <mergeCell ref="A19:D20"/>
    <mergeCell ref="A29:D30"/>
    <mergeCell ref="A39:D40"/>
    <mergeCell ref="A8:D9"/>
    <mergeCell ref="A6:D6"/>
  </mergeCells>
  <pageMargins left="0.7" right="0.7" top="0.75" bottom="0.75" header="0.3" footer="0.3"/>
  <pageSetup scale="79" orientation="portrait" r:id="rId1"/>
  <headerFooter>
    <oddFooter>&amp;RPrecios Mantenimiento Zona VII</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46"/>
  <sheetViews>
    <sheetView view="pageBreakPreview" topLeftCell="A19" zoomScale="80" zoomScaleNormal="80" zoomScaleSheetLayoutView="80" workbookViewId="0">
      <selection activeCell="A22" sqref="A22:XFD22"/>
    </sheetView>
  </sheetViews>
  <sheetFormatPr baseColWidth="10" defaultColWidth="11.42578125" defaultRowHeight="15" x14ac:dyDescent="0.25"/>
  <cols>
    <col min="1" max="1" width="7.140625" customWidth="1"/>
    <col min="2" max="2" width="53" bestFit="1" customWidth="1"/>
    <col min="3" max="3" width="16.7109375" customWidth="1"/>
    <col min="4" max="4" width="20" bestFit="1" customWidth="1"/>
  </cols>
  <sheetData>
    <row r="6" spans="1:4" ht="18.75" x14ac:dyDescent="0.3">
      <c r="A6" s="85" t="s">
        <v>386</v>
      </c>
      <c r="B6" s="86"/>
      <c r="C6" s="86"/>
      <c r="D6" s="87"/>
    </row>
    <row r="8" spans="1:4" ht="15" customHeight="1" x14ac:dyDescent="0.25">
      <c r="A8" s="82" t="s">
        <v>22</v>
      </c>
      <c r="B8" s="82"/>
      <c r="C8" s="82"/>
      <c r="D8" s="82"/>
    </row>
    <row r="9" spans="1:4" ht="15" customHeight="1" x14ac:dyDescent="0.25">
      <c r="A9" s="83"/>
      <c r="B9" s="83"/>
      <c r="C9" s="83"/>
      <c r="D9" s="83"/>
    </row>
    <row r="10" spans="1:4" ht="22.5" customHeight="1" x14ac:dyDescent="0.25">
      <c r="A10" s="2" t="s">
        <v>324</v>
      </c>
      <c r="B10" s="2" t="s">
        <v>12</v>
      </c>
      <c r="C10" s="2" t="s">
        <v>13</v>
      </c>
      <c r="D10" s="2" t="s">
        <v>401</v>
      </c>
    </row>
    <row r="11" spans="1:4" x14ac:dyDescent="0.25">
      <c r="A11" s="10">
        <v>1</v>
      </c>
      <c r="B11" s="3" t="s">
        <v>17</v>
      </c>
      <c r="C11" s="4">
        <f>7.03*9.94</f>
        <v>69.878199999999993</v>
      </c>
      <c r="D11" s="5">
        <v>145345.08999999997</v>
      </c>
    </row>
    <row r="12" spans="1:4" x14ac:dyDescent="0.25">
      <c r="A12" s="10">
        <f>+A11+1</f>
        <v>2</v>
      </c>
      <c r="B12" s="3" t="s">
        <v>18</v>
      </c>
      <c r="C12" s="4">
        <f>5.54*7.8</f>
        <v>43.211999999999996</v>
      </c>
      <c r="D12" s="5">
        <v>98557.74</v>
      </c>
    </row>
    <row r="13" spans="1:4" ht="15" customHeight="1" x14ac:dyDescent="0.25">
      <c r="A13" s="10">
        <v>3</v>
      </c>
      <c r="B13" s="3" t="s">
        <v>19</v>
      </c>
      <c r="C13" s="4">
        <f>4.48*6.32</f>
        <v>28.313600000000005</v>
      </c>
      <c r="D13" s="5">
        <v>81738.430000000008</v>
      </c>
    </row>
    <row r="14" spans="1:4" x14ac:dyDescent="0.25">
      <c r="A14" s="10">
        <v>4</v>
      </c>
      <c r="B14" s="3" t="s">
        <v>20</v>
      </c>
      <c r="C14" s="4">
        <v>60</v>
      </c>
      <c r="D14" s="5">
        <v>104878.68000000001</v>
      </c>
    </row>
    <row r="15" spans="1:4" x14ac:dyDescent="0.25">
      <c r="A15" s="10">
        <v>5</v>
      </c>
      <c r="B15" s="3" t="s">
        <v>21</v>
      </c>
      <c r="C15" s="4">
        <f>3.75*4.26</f>
        <v>15.975</v>
      </c>
      <c r="D15" s="5">
        <v>67138.95</v>
      </c>
    </row>
    <row r="16" spans="1:4" x14ac:dyDescent="0.25">
      <c r="A16" s="8">
        <f>+A15</f>
        <v>5</v>
      </c>
      <c r="D16" s="6">
        <f>SUM(D11:D15)</f>
        <v>497658.88999999996</v>
      </c>
    </row>
    <row r="18" spans="1:4" ht="15" customHeight="1" x14ac:dyDescent="0.25">
      <c r="A18" s="82" t="s">
        <v>132</v>
      </c>
      <c r="B18" s="82"/>
      <c r="C18" s="82"/>
      <c r="D18" s="82"/>
    </row>
    <row r="19" spans="1:4" ht="15" customHeight="1" x14ac:dyDescent="0.25">
      <c r="A19" s="83"/>
      <c r="B19" s="83"/>
      <c r="C19" s="83"/>
      <c r="D19" s="83"/>
    </row>
    <row r="20" spans="1:4" ht="22.5" customHeight="1" x14ac:dyDescent="0.25">
      <c r="A20" s="2" t="s">
        <v>324</v>
      </c>
      <c r="B20" s="2" t="s">
        <v>12</v>
      </c>
      <c r="C20" s="2" t="s">
        <v>13</v>
      </c>
      <c r="D20" s="2" t="s">
        <v>401</v>
      </c>
    </row>
    <row r="21" spans="1:4" x14ac:dyDescent="0.25">
      <c r="A21" s="10">
        <v>1</v>
      </c>
      <c r="B21" s="3" t="s">
        <v>133</v>
      </c>
      <c r="C21" s="4">
        <f>6.92*6.75</f>
        <v>46.71</v>
      </c>
      <c r="D21" s="5">
        <v>98557.74</v>
      </c>
    </row>
    <row r="22" spans="1:4" ht="15" customHeight="1" x14ac:dyDescent="0.25">
      <c r="A22" s="10">
        <v>2</v>
      </c>
      <c r="B22" s="3" t="s">
        <v>134</v>
      </c>
      <c r="C22" s="4">
        <f>6.85*5.85</f>
        <v>40.072499999999998</v>
      </c>
      <c r="D22" s="5">
        <v>98557.74</v>
      </c>
    </row>
    <row r="23" spans="1:4" x14ac:dyDescent="0.25">
      <c r="A23" s="10">
        <v>3</v>
      </c>
      <c r="B23" s="3" t="s">
        <v>135</v>
      </c>
      <c r="C23" s="4">
        <v>50</v>
      </c>
      <c r="D23" s="5">
        <v>98557.74</v>
      </c>
    </row>
    <row r="24" spans="1:4" x14ac:dyDescent="0.25">
      <c r="A24" s="10">
        <v>4</v>
      </c>
      <c r="B24" s="3" t="s">
        <v>136</v>
      </c>
      <c r="C24" s="4">
        <f>3.85*6.75</f>
        <v>25.987500000000001</v>
      </c>
      <c r="D24" s="5">
        <v>84738.430000000008</v>
      </c>
    </row>
    <row r="25" spans="1:4" x14ac:dyDescent="0.25">
      <c r="A25" s="10">
        <v>5</v>
      </c>
      <c r="B25" s="3" t="s">
        <v>137</v>
      </c>
      <c r="C25" s="4">
        <v>42</v>
      </c>
      <c r="D25" s="5">
        <v>98557.74</v>
      </c>
    </row>
    <row r="26" spans="1:4" x14ac:dyDescent="0.25">
      <c r="A26" s="8">
        <f>+A25</f>
        <v>5</v>
      </c>
      <c r="D26" s="6">
        <f>SUM(D21:D25)</f>
        <v>478969.39</v>
      </c>
    </row>
    <row r="28" spans="1:4" ht="15" customHeight="1" x14ac:dyDescent="0.25">
      <c r="A28" s="82" t="s">
        <v>55</v>
      </c>
      <c r="B28" s="82"/>
      <c r="C28" s="82"/>
      <c r="D28" s="82"/>
    </row>
    <row r="29" spans="1:4" ht="15" customHeight="1" x14ac:dyDescent="0.25">
      <c r="A29" s="83"/>
      <c r="B29" s="83"/>
      <c r="C29" s="83"/>
      <c r="D29" s="83"/>
    </row>
    <row r="30" spans="1:4" ht="22.5" customHeight="1" x14ac:dyDescent="0.25">
      <c r="A30" s="2" t="s">
        <v>324</v>
      </c>
      <c r="B30" s="2" t="s">
        <v>12</v>
      </c>
      <c r="C30" s="2" t="s">
        <v>13</v>
      </c>
      <c r="D30" s="2" t="s">
        <v>401</v>
      </c>
    </row>
    <row r="31" spans="1:4" x14ac:dyDescent="0.25">
      <c r="A31" s="10">
        <v>1</v>
      </c>
      <c r="B31" s="3" t="s">
        <v>56</v>
      </c>
      <c r="C31" s="4">
        <v>46</v>
      </c>
      <c r="D31" s="5">
        <v>98557.74</v>
      </c>
    </row>
    <row r="32" spans="1:4" ht="15.75" customHeight="1" x14ac:dyDescent="0.25">
      <c r="A32" s="10">
        <v>2</v>
      </c>
      <c r="B32" s="3" t="s">
        <v>57</v>
      </c>
      <c r="C32" s="4">
        <f>5.8*4.76</f>
        <v>27.607999999999997</v>
      </c>
      <c r="D32" s="5">
        <v>84738.430000000008</v>
      </c>
    </row>
    <row r="33" spans="1:4" x14ac:dyDescent="0.25">
      <c r="A33" s="10">
        <v>3</v>
      </c>
      <c r="B33" s="3" t="s">
        <v>58</v>
      </c>
      <c r="C33" s="4">
        <f>7.15*5.44</f>
        <v>38.896000000000008</v>
      </c>
      <c r="D33" s="5">
        <v>98557.74</v>
      </c>
    </row>
    <row r="34" spans="1:4" x14ac:dyDescent="0.25">
      <c r="A34" s="10">
        <v>4</v>
      </c>
      <c r="B34" s="3" t="s">
        <v>59</v>
      </c>
      <c r="C34" s="4">
        <v>42</v>
      </c>
      <c r="D34" s="5">
        <v>98557.74</v>
      </c>
    </row>
    <row r="35" spans="1:4" x14ac:dyDescent="0.25">
      <c r="A35" s="10">
        <v>5</v>
      </c>
      <c r="B35" s="3" t="s">
        <v>60</v>
      </c>
      <c r="C35" s="4">
        <v>35</v>
      </c>
      <c r="D35" s="5">
        <v>98557.74</v>
      </c>
    </row>
    <row r="36" spans="1:4" x14ac:dyDescent="0.25">
      <c r="A36" s="10">
        <v>6</v>
      </c>
      <c r="B36" s="3" t="s">
        <v>61</v>
      </c>
      <c r="C36" s="4">
        <v>45</v>
      </c>
      <c r="D36" s="5">
        <v>98557.74</v>
      </c>
    </row>
    <row r="37" spans="1:4" x14ac:dyDescent="0.25">
      <c r="A37" s="10">
        <v>7</v>
      </c>
      <c r="B37" s="3" t="s">
        <v>62</v>
      </c>
      <c r="C37" s="4">
        <v>52.15</v>
      </c>
      <c r="D37" s="5">
        <v>98557.74</v>
      </c>
    </row>
    <row r="38" spans="1:4" x14ac:dyDescent="0.25">
      <c r="A38" s="10">
        <v>8</v>
      </c>
      <c r="B38" s="3" t="s">
        <v>63</v>
      </c>
      <c r="C38" s="4">
        <f>8.58*5.88</f>
        <v>50.450400000000002</v>
      </c>
      <c r="D38" s="5">
        <v>98557.74</v>
      </c>
    </row>
    <row r="39" spans="1:4" x14ac:dyDescent="0.25">
      <c r="A39" s="10">
        <v>9</v>
      </c>
      <c r="B39" s="3" t="s">
        <v>64</v>
      </c>
      <c r="C39" s="4">
        <v>43.56</v>
      </c>
      <c r="D39" s="5">
        <v>98557.74</v>
      </c>
    </row>
    <row r="40" spans="1:4" x14ac:dyDescent="0.25">
      <c r="A40" s="10">
        <v>10</v>
      </c>
      <c r="B40" s="3" t="s">
        <v>65</v>
      </c>
      <c r="C40" s="4">
        <f>6.31*7.69</f>
        <v>48.523899999999998</v>
      </c>
      <c r="D40" s="5">
        <v>98557.74</v>
      </c>
    </row>
    <row r="41" spans="1:4" x14ac:dyDescent="0.25">
      <c r="A41" s="10">
        <v>11</v>
      </c>
      <c r="B41" s="3" t="s">
        <v>66</v>
      </c>
      <c r="C41" s="4">
        <f>4.2*8.55</f>
        <v>35.910000000000004</v>
      </c>
      <c r="D41" s="5">
        <v>98557.74</v>
      </c>
    </row>
    <row r="42" spans="1:4" x14ac:dyDescent="0.25">
      <c r="A42" s="10">
        <v>12</v>
      </c>
      <c r="B42" s="3" t="s">
        <v>67</v>
      </c>
      <c r="C42" s="4">
        <f>7.18*8.65</f>
        <v>62.106999999999999</v>
      </c>
      <c r="D42" s="5">
        <v>104878.68000000001</v>
      </c>
    </row>
    <row r="43" spans="1:4" ht="13.5" customHeight="1" x14ac:dyDescent="0.25">
      <c r="A43" s="10">
        <v>13</v>
      </c>
      <c r="B43" s="3" t="s">
        <v>68</v>
      </c>
      <c r="C43" s="4">
        <f>6.24*6.06</f>
        <v>37.814399999999999</v>
      </c>
      <c r="D43" s="5">
        <v>98557.74</v>
      </c>
    </row>
    <row r="44" spans="1:4" x14ac:dyDescent="0.25">
      <c r="A44" s="9">
        <f>+A43</f>
        <v>13</v>
      </c>
      <c r="D44" s="6">
        <f>SUM(D31:D43)</f>
        <v>1273752.25</v>
      </c>
    </row>
    <row r="46" spans="1:4" x14ac:dyDescent="0.25">
      <c r="A46" s="9">
        <f>+A16+A26+A44</f>
        <v>23</v>
      </c>
      <c r="D46" s="6">
        <f>+D16+D26+D44</f>
        <v>2250380.5300000003</v>
      </c>
    </row>
  </sheetData>
  <mergeCells count="4">
    <mergeCell ref="A8:D9"/>
    <mergeCell ref="A18:D19"/>
    <mergeCell ref="A28:D29"/>
    <mergeCell ref="A6:D6"/>
  </mergeCells>
  <dataValidations disablePrompts="1" count="1">
    <dataValidation showInputMessage="1" showErrorMessage="1" sqref="WVC15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dataValidations>
  <pageMargins left="0.7" right="0.7" top="0.75" bottom="0.75" header="0.3" footer="0.3"/>
  <pageSetup scale="93" orientation="portrait" r:id="rId1"/>
  <headerFooter>
    <oddFooter>&amp;RPrecios Mantenimiento Zona VIII</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45"/>
  <sheetViews>
    <sheetView view="pageBreakPreview" topLeftCell="A10" zoomScale="80" zoomScaleNormal="80" zoomScaleSheetLayoutView="80" workbookViewId="0">
      <selection activeCell="A42" sqref="A42:XFD42"/>
    </sheetView>
  </sheetViews>
  <sheetFormatPr baseColWidth="10" defaultColWidth="11.42578125" defaultRowHeight="15" x14ac:dyDescent="0.25"/>
  <cols>
    <col min="1" max="1" width="7.140625" customWidth="1"/>
    <col min="2" max="2" width="53" bestFit="1" customWidth="1"/>
    <col min="3" max="3" width="16.7109375" customWidth="1"/>
    <col min="4" max="4" width="20" bestFit="1" customWidth="1"/>
  </cols>
  <sheetData>
    <row r="6" spans="1:4" ht="18.75" x14ac:dyDescent="0.3">
      <c r="A6" s="85" t="s">
        <v>385</v>
      </c>
      <c r="B6" s="86"/>
      <c r="C6" s="86"/>
      <c r="D6" s="87"/>
    </row>
    <row r="8" spans="1:4" ht="15" customHeight="1" x14ac:dyDescent="0.25">
      <c r="A8" s="82" t="s">
        <v>76</v>
      </c>
      <c r="B8" s="82"/>
      <c r="C8" s="82"/>
      <c r="D8" s="82"/>
    </row>
    <row r="9" spans="1:4" ht="15" customHeight="1" x14ac:dyDescent="0.25">
      <c r="A9" s="83"/>
      <c r="B9" s="83"/>
      <c r="C9" s="83"/>
      <c r="D9" s="83"/>
    </row>
    <row r="10" spans="1:4" ht="22.5" customHeight="1" x14ac:dyDescent="0.25">
      <c r="A10" s="2" t="s">
        <v>324</v>
      </c>
      <c r="B10" s="2" t="s">
        <v>12</v>
      </c>
      <c r="C10" s="2" t="s">
        <v>13</v>
      </c>
      <c r="D10" s="2" t="s">
        <v>401</v>
      </c>
    </row>
    <row r="11" spans="1:4" ht="15" customHeight="1" x14ac:dyDescent="0.25">
      <c r="A11" s="10">
        <v>1</v>
      </c>
      <c r="B11" s="3" t="s">
        <v>77</v>
      </c>
      <c r="C11" s="4">
        <f>3.1*4.06</f>
        <v>12.585999999999999</v>
      </c>
      <c r="D11" s="5">
        <v>56480.11</v>
      </c>
    </row>
    <row r="12" spans="1:4" ht="15.75" customHeight="1" x14ac:dyDescent="0.25">
      <c r="A12" s="10">
        <v>2</v>
      </c>
      <c r="B12" s="3" t="s">
        <v>78</v>
      </c>
      <c r="C12" s="4">
        <f>2.7*5.8</f>
        <v>15.66</v>
      </c>
      <c r="D12" s="5">
        <v>56480.11</v>
      </c>
    </row>
    <row r="13" spans="1:4" ht="1.5" customHeight="1" x14ac:dyDescent="0.25">
      <c r="A13" s="10">
        <v>3</v>
      </c>
      <c r="B13" s="3" t="s">
        <v>79</v>
      </c>
      <c r="C13" s="4">
        <f>2.77*3.97</f>
        <v>10.9969</v>
      </c>
      <c r="D13" s="5">
        <v>0</v>
      </c>
    </row>
    <row r="14" spans="1:4" x14ac:dyDescent="0.25">
      <c r="A14" s="10">
        <v>3</v>
      </c>
      <c r="B14" s="3" t="s">
        <v>80</v>
      </c>
      <c r="C14" s="4">
        <f>4.68*4.3</f>
        <v>20.123999999999999</v>
      </c>
      <c r="D14" s="5">
        <v>67138.95</v>
      </c>
    </row>
    <row r="15" spans="1:4" ht="15" customHeight="1" x14ac:dyDescent="0.25">
      <c r="A15" s="10">
        <v>4</v>
      </c>
      <c r="B15" s="3" t="s">
        <v>81</v>
      </c>
      <c r="C15" s="4">
        <f>2.72*6.03</f>
        <v>16.401600000000002</v>
      </c>
      <c r="D15" s="5">
        <v>56480.11</v>
      </c>
    </row>
    <row r="16" spans="1:4" x14ac:dyDescent="0.25">
      <c r="A16" s="10">
        <v>5</v>
      </c>
      <c r="B16" s="3" t="s">
        <v>82</v>
      </c>
      <c r="C16" s="4">
        <f>3.92*13.34</f>
        <v>52.2928</v>
      </c>
      <c r="D16" s="5">
        <v>104878.68000000001</v>
      </c>
    </row>
    <row r="17" spans="1:4" x14ac:dyDescent="0.25">
      <c r="A17" s="10">
        <v>6</v>
      </c>
      <c r="B17" s="3" t="s">
        <v>83</v>
      </c>
      <c r="C17" s="4">
        <v>46</v>
      </c>
      <c r="D17" s="5">
        <v>98557.74</v>
      </c>
    </row>
    <row r="18" spans="1:4" x14ac:dyDescent="0.25">
      <c r="A18" s="10">
        <v>7</v>
      </c>
      <c r="B18" s="3" t="s">
        <v>84</v>
      </c>
      <c r="C18" s="4">
        <f>3.85*3.96</f>
        <v>15.246</v>
      </c>
      <c r="D18" s="5">
        <v>53480.11</v>
      </c>
    </row>
    <row r="19" spans="1:4" ht="17.25" customHeight="1" x14ac:dyDescent="0.25">
      <c r="A19" s="10">
        <v>8</v>
      </c>
      <c r="B19" s="3" t="s">
        <v>85</v>
      </c>
      <c r="C19" s="4">
        <f>1.59*5.14</f>
        <v>8.1725999999999992</v>
      </c>
      <c r="D19" s="5">
        <v>46167.65</v>
      </c>
    </row>
    <row r="20" spans="1:4" x14ac:dyDescent="0.25">
      <c r="A20" s="9">
        <f>+A19</f>
        <v>8</v>
      </c>
      <c r="D20" s="6">
        <f>SUM(D11:D19)</f>
        <v>539663.46</v>
      </c>
    </row>
    <row r="22" spans="1:4" ht="15" customHeight="1" x14ac:dyDescent="0.25">
      <c r="A22" s="82" t="s">
        <v>90</v>
      </c>
      <c r="B22" s="82"/>
      <c r="C22" s="82"/>
      <c r="D22" s="82"/>
    </row>
    <row r="23" spans="1:4" ht="15" customHeight="1" x14ac:dyDescent="0.25">
      <c r="A23" s="83"/>
      <c r="B23" s="83"/>
      <c r="C23" s="83"/>
      <c r="D23" s="83"/>
    </row>
    <row r="24" spans="1:4" ht="22.5" customHeight="1" x14ac:dyDescent="0.25">
      <c r="A24" s="2" t="s">
        <v>324</v>
      </c>
      <c r="B24" s="2" t="s">
        <v>12</v>
      </c>
      <c r="C24" s="2" t="s">
        <v>13</v>
      </c>
      <c r="D24" s="2" t="s">
        <v>401</v>
      </c>
    </row>
    <row r="25" spans="1:4" x14ac:dyDescent="0.25">
      <c r="A25" s="10">
        <v>1</v>
      </c>
      <c r="B25" s="3" t="s">
        <v>91</v>
      </c>
      <c r="C25" s="4">
        <f>3.47*11.07</f>
        <v>38.4129</v>
      </c>
      <c r="D25" s="5">
        <v>98557.74</v>
      </c>
    </row>
    <row r="26" spans="1:4" x14ac:dyDescent="0.25">
      <c r="A26" s="10">
        <v>2</v>
      </c>
      <c r="B26" s="3" t="s">
        <v>92</v>
      </c>
      <c r="C26" s="4">
        <f>6*10</f>
        <v>60</v>
      </c>
      <c r="D26" s="5">
        <v>104878.68000000001</v>
      </c>
    </row>
    <row r="27" spans="1:4" x14ac:dyDescent="0.25">
      <c r="A27" s="10">
        <v>3</v>
      </c>
      <c r="B27" s="3" t="s">
        <v>93</v>
      </c>
      <c r="C27" s="4">
        <f>4.97*11.07</f>
        <v>55.017899999999997</v>
      </c>
      <c r="D27" s="5">
        <v>104878.68000000001</v>
      </c>
    </row>
    <row r="28" spans="1:4" x14ac:dyDescent="0.25">
      <c r="A28" s="8">
        <f>+A27</f>
        <v>3</v>
      </c>
      <c r="D28" s="6">
        <f>SUM(D25:D27)</f>
        <v>308315.10000000003</v>
      </c>
    </row>
    <row r="30" spans="1:4" ht="15" customHeight="1" x14ac:dyDescent="0.25">
      <c r="A30" s="82" t="s">
        <v>122</v>
      </c>
      <c r="B30" s="82"/>
      <c r="C30" s="82"/>
      <c r="D30" s="82"/>
    </row>
    <row r="31" spans="1:4" ht="15" customHeight="1" x14ac:dyDescent="0.25">
      <c r="A31" s="83"/>
      <c r="B31" s="83"/>
      <c r="C31" s="83"/>
      <c r="D31" s="83"/>
    </row>
    <row r="32" spans="1:4" ht="22.5" customHeight="1" x14ac:dyDescent="0.25">
      <c r="A32" s="2" t="s">
        <v>324</v>
      </c>
      <c r="B32" s="2" t="s">
        <v>12</v>
      </c>
      <c r="C32" s="2" t="s">
        <v>13</v>
      </c>
      <c r="D32" s="2" t="s">
        <v>401</v>
      </c>
    </row>
    <row r="33" spans="1:4" ht="15" customHeight="1" x14ac:dyDescent="0.25">
      <c r="A33" s="10">
        <v>1</v>
      </c>
      <c r="B33" s="3" t="s">
        <v>123</v>
      </c>
      <c r="C33" s="4">
        <f>3.68*6.22</f>
        <v>22.889600000000002</v>
      </c>
      <c r="D33" s="5">
        <v>64138.95</v>
      </c>
    </row>
    <row r="34" spans="1:4" x14ac:dyDescent="0.25">
      <c r="A34" s="10">
        <v>2</v>
      </c>
      <c r="B34" s="3" t="s">
        <v>124</v>
      </c>
      <c r="C34" s="4">
        <v>23.19</v>
      </c>
      <c r="D34" s="5">
        <v>84738.430000000008</v>
      </c>
    </row>
    <row r="35" spans="1:4" ht="14.25" customHeight="1" x14ac:dyDescent="0.25">
      <c r="A35" s="10">
        <v>3</v>
      </c>
      <c r="B35" s="3" t="s">
        <v>125</v>
      </c>
      <c r="C35" s="4">
        <f>5.42*3.86</f>
        <v>20.921199999999999</v>
      </c>
      <c r="D35" s="5">
        <v>64138.95</v>
      </c>
    </row>
    <row r="36" spans="1:4" x14ac:dyDescent="0.25">
      <c r="A36" s="10">
        <v>4</v>
      </c>
      <c r="B36" s="3" t="s">
        <v>126</v>
      </c>
      <c r="C36" s="4">
        <v>60</v>
      </c>
      <c r="D36" s="5">
        <v>104878.68000000001</v>
      </c>
    </row>
    <row r="37" spans="1:4" ht="14.25" customHeight="1" x14ac:dyDescent="0.25">
      <c r="A37" s="10">
        <v>5</v>
      </c>
      <c r="B37" s="3" t="s">
        <v>127</v>
      </c>
      <c r="C37" s="4">
        <f>3.14*5.62</f>
        <v>17.646800000000002</v>
      </c>
      <c r="D37" s="5">
        <v>53480.11</v>
      </c>
    </row>
    <row r="38" spans="1:4" x14ac:dyDescent="0.25">
      <c r="A38" s="10">
        <v>6</v>
      </c>
      <c r="B38" s="3" t="s">
        <v>128</v>
      </c>
      <c r="C38" s="4">
        <v>35</v>
      </c>
      <c r="D38" s="5">
        <v>95557.74</v>
      </c>
    </row>
    <row r="39" spans="1:4" x14ac:dyDescent="0.25">
      <c r="A39" s="10">
        <v>7</v>
      </c>
      <c r="B39" s="3" t="s">
        <v>349</v>
      </c>
      <c r="C39" s="4">
        <f>12.04*10.1</f>
        <v>121.60399999999998</v>
      </c>
      <c r="D39" s="5">
        <v>145345.08999999997</v>
      </c>
    </row>
    <row r="40" spans="1:4" x14ac:dyDescent="0.25">
      <c r="A40" s="10">
        <v>8</v>
      </c>
      <c r="B40" s="3" t="s">
        <v>129</v>
      </c>
      <c r="C40" s="4">
        <f>2.75*8.76</f>
        <v>24.09</v>
      </c>
      <c r="D40" s="5">
        <v>84738.430000000008</v>
      </c>
    </row>
    <row r="41" spans="1:4" ht="14.25" customHeight="1" x14ac:dyDescent="0.25">
      <c r="A41" s="10">
        <v>9</v>
      </c>
      <c r="B41" s="3" t="s">
        <v>130</v>
      </c>
      <c r="C41" s="4">
        <f>5*7.05</f>
        <v>35.25</v>
      </c>
      <c r="D41" s="5">
        <v>95557.74</v>
      </c>
    </row>
    <row r="42" spans="1:4" x14ac:dyDescent="0.25">
      <c r="A42" s="10">
        <v>10</v>
      </c>
      <c r="B42" s="3" t="s">
        <v>131</v>
      </c>
      <c r="C42" s="4">
        <f>2.67*4.48</f>
        <v>11.961600000000001</v>
      </c>
      <c r="D42" s="5">
        <v>49167.65</v>
      </c>
    </row>
    <row r="43" spans="1:4" x14ac:dyDescent="0.25">
      <c r="A43" s="8">
        <f>+A42</f>
        <v>10</v>
      </c>
      <c r="D43" s="6">
        <f>SUM(D33:D42)</f>
        <v>841741.77</v>
      </c>
    </row>
    <row r="45" spans="1:4" x14ac:dyDescent="0.25">
      <c r="A45" s="9">
        <f>+A20+A28+A43</f>
        <v>21</v>
      </c>
      <c r="D45" s="6">
        <f>+D20+D28+D43</f>
        <v>1689720.33</v>
      </c>
    </row>
  </sheetData>
  <mergeCells count="4">
    <mergeCell ref="A30:D31"/>
    <mergeCell ref="A8:D9"/>
    <mergeCell ref="A22:D23"/>
    <mergeCell ref="A6:D6"/>
  </mergeCells>
  <pageMargins left="0.7" right="0.7" top="0.75" bottom="0.75" header="0.3" footer="0.3"/>
  <pageSetup scale="93" orientation="portrait" r:id="rId1"/>
  <headerFooter>
    <oddFooter>&amp;RPrecios Mantenimiento Zona IX</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Zona I</vt:lpstr>
      <vt:lpstr>Zona II</vt:lpstr>
      <vt:lpstr>Zona III</vt:lpstr>
      <vt:lpstr>Zona IV</vt:lpstr>
      <vt:lpstr>Zona V</vt:lpstr>
      <vt:lpstr>Zona VI</vt:lpstr>
      <vt:lpstr>Zona VII</vt:lpstr>
      <vt:lpstr>Zona VIII</vt:lpstr>
      <vt:lpstr>Zona IX</vt:lpstr>
      <vt:lpstr>Zona X</vt:lpstr>
      <vt:lpstr>Zona XI </vt:lpstr>
      <vt:lpstr>Resumen II</vt:lpstr>
      <vt:lpstr>Resumen</vt:lpstr>
      <vt:lpstr>Direcciones Farmacias </vt:lpstr>
      <vt:lpstr>'Direcciones Farmacias '!Área_de_impresión</vt:lpstr>
      <vt:lpstr>Resumen!Área_de_impresión</vt:lpstr>
      <vt:lpstr>'Resumen II'!Área_de_impresión</vt:lpstr>
      <vt:lpstr>'Zona I'!Área_de_impresión</vt:lpstr>
      <vt:lpstr>'Zona II'!Área_de_impresión</vt:lpstr>
      <vt:lpstr>'Zona III'!Área_de_impresión</vt:lpstr>
      <vt:lpstr>'Zona IV'!Área_de_impresión</vt:lpstr>
      <vt:lpstr>'Zona IX'!Área_de_impresión</vt:lpstr>
      <vt:lpstr>'Zona V'!Área_de_impresión</vt:lpstr>
      <vt:lpstr>'Zona VI'!Área_de_impresión</vt:lpstr>
      <vt:lpstr>'Zona VII'!Área_de_impresión</vt:lpstr>
      <vt:lpstr>'Zona VIII'!Área_de_impresión</vt:lpstr>
      <vt:lpstr>'Zona X'!Área_de_impresión</vt:lpstr>
      <vt:lpstr>'Zona XI '!Área_de_impresión</vt:lpstr>
      <vt:lpstr>'Direcciones Farmacias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Sabra Roberts</dc:creator>
  <cp:lastModifiedBy>Maria Rodriguez</cp:lastModifiedBy>
  <cp:lastPrinted>2017-03-17T16:57:19Z</cp:lastPrinted>
  <dcterms:created xsi:type="dcterms:W3CDTF">2015-09-11T14:32:29Z</dcterms:created>
  <dcterms:modified xsi:type="dcterms:W3CDTF">2017-03-21T14:49:23Z</dcterms:modified>
</cp:coreProperties>
</file>